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showInkAnnotation="0" codeName="ThisWorkbook" defaultThemeVersion="166925"/>
  <mc:AlternateContent xmlns:mc="http://schemas.openxmlformats.org/markup-compatibility/2006">
    <mc:Choice Requires="x15">
      <x15ac:absPath xmlns:x15ac="http://schemas.microsoft.com/office/spreadsheetml/2010/11/ac" url="C:\Users\Virgile\Desktop\"/>
    </mc:Choice>
  </mc:AlternateContent>
  <xr:revisionPtr revIDLastSave="0" documentId="13_ncr:1_{CFA78391-92D0-465B-B4F6-BF3CC8942105}" xr6:coauthVersionLast="44" xr6:coauthVersionMax="44" xr10:uidLastSave="{00000000-0000-0000-0000-000000000000}"/>
  <bookViews>
    <workbookView xWindow="-120" yWindow="-120" windowWidth="20730" windowHeight="11760" firstSheet="1" activeTab="1" xr2:uid="{0E60D4EE-B2BB-41DD-AA1F-5200ACDD9955}"/>
  </bookViews>
  <sheets>
    <sheet name="Répertoire" sheetId="1" r:id="rId1"/>
    <sheet name="Terrier" sheetId="2" r:id="rId2"/>
    <sheet name=" TCD Possessions" sheetId="6" r:id="rId3"/>
    <sheet name="TCD mois" sheetId="11" r:id="rId4"/>
    <sheet name="Détails redevances" sheetId="4" r:id="rId5"/>
    <sheet name="Détail sur Possessions" sheetId="5" r:id="rId6"/>
    <sheet name="TCD Terrier" sheetId="7" r:id="rId7"/>
    <sheet name="Répartition de la population" sheetId="9" r:id="rId8"/>
    <sheet name="Supplément moderne" sheetId="3" r:id="rId9"/>
  </sheets>
  <definedNames>
    <definedName name="_xlnm._FilterDatabase" localSheetId="5" hidden="1">'Détail sur Possessions'!$A$1:$R$1134</definedName>
    <definedName name="_xlnm._FilterDatabase" localSheetId="4" hidden="1">'Détails redevances'!$A$1:$AL$221</definedName>
    <definedName name="_xlnm._FilterDatabase" localSheetId="8" hidden="1">'Supplément moderne'!$A$1:$CC$24</definedName>
    <definedName name="_xlnm._FilterDatabase" localSheetId="1" hidden="1">Terrier!$A$1:$DJ$231</definedName>
  </definedNames>
  <calcPr calcId="191029"/>
  <pivotCaches>
    <pivotCache cacheId="0" r:id="rId10"/>
    <pivotCache cacheId="1" r:id="rId11"/>
    <pivotCache cacheId="2" r:id="rId12"/>
    <pivotCache cacheId="3"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X231" i="2" l="1"/>
  <c r="BR231" i="2"/>
  <c r="AB37" i="4" l="1"/>
  <c r="X3" i="4" l="1"/>
  <c r="X4" i="4"/>
  <c r="X5" i="4"/>
  <c r="X6" i="4"/>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36" i="4"/>
  <c r="X37" i="4"/>
  <c r="X38" i="4"/>
  <c r="X39" i="4"/>
  <c r="X40" i="4"/>
  <c r="X41" i="4"/>
  <c r="X42" i="4"/>
  <c r="X43" i="4"/>
  <c r="X44" i="4"/>
  <c r="X45" i="4"/>
  <c r="X46" i="4"/>
  <c r="X47" i="4"/>
  <c r="X48" i="4"/>
  <c r="X49" i="4"/>
  <c r="X50" i="4"/>
  <c r="X51" i="4"/>
  <c r="X52" i="4"/>
  <c r="X53" i="4"/>
  <c r="X54" i="4"/>
  <c r="X55" i="4"/>
  <c r="X56" i="4"/>
  <c r="X57" i="4"/>
  <c r="X58" i="4"/>
  <c r="X59" i="4"/>
  <c r="X60" i="4"/>
  <c r="X61" i="4"/>
  <c r="X62" i="4"/>
  <c r="X63" i="4"/>
  <c r="X64" i="4"/>
  <c r="X65" i="4"/>
  <c r="X66" i="4"/>
  <c r="X67" i="4"/>
  <c r="X68" i="4"/>
  <c r="X69" i="4"/>
  <c r="X70" i="4"/>
  <c r="X71" i="4"/>
  <c r="X72" i="4"/>
  <c r="X73" i="4"/>
  <c r="X74" i="4"/>
  <c r="X75" i="4"/>
  <c r="X76" i="4"/>
  <c r="X77" i="4"/>
  <c r="X78" i="4"/>
  <c r="X79" i="4"/>
  <c r="X80" i="4"/>
  <c r="X81" i="4"/>
  <c r="X82" i="4"/>
  <c r="X83" i="4"/>
  <c r="X84" i="4"/>
  <c r="X85" i="4"/>
  <c r="X86" i="4"/>
  <c r="X87" i="4"/>
  <c r="X88" i="4"/>
  <c r="X89" i="4"/>
  <c r="X90" i="4"/>
  <c r="X91" i="4"/>
  <c r="X92" i="4"/>
  <c r="X93" i="4"/>
  <c r="X94" i="4"/>
  <c r="X95" i="4"/>
  <c r="X96" i="4"/>
  <c r="X97" i="4"/>
  <c r="X98" i="4"/>
  <c r="X99" i="4"/>
  <c r="X100" i="4"/>
  <c r="X101" i="4"/>
  <c r="X102" i="4"/>
  <c r="X103" i="4"/>
  <c r="X104" i="4"/>
  <c r="X105" i="4"/>
  <c r="X106" i="4"/>
  <c r="X107" i="4"/>
  <c r="X108" i="4"/>
  <c r="X109" i="4"/>
  <c r="X110" i="4"/>
  <c r="X111" i="4"/>
  <c r="X112" i="4"/>
  <c r="X113" i="4"/>
  <c r="X114" i="4"/>
  <c r="X115" i="4"/>
  <c r="X116" i="4"/>
  <c r="X117" i="4"/>
  <c r="X118" i="4"/>
  <c r="X119" i="4"/>
  <c r="X120" i="4"/>
  <c r="X121" i="4"/>
  <c r="X122" i="4"/>
  <c r="X123" i="4"/>
  <c r="X124" i="4"/>
  <c r="X125" i="4"/>
  <c r="X126" i="4"/>
  <c r="X127" i="4"/>
  <c r="X128" i="4"/>
  <c r="X129" i="4"/>
  <c r="X130" i="4"/>
  <c r="X131" i="4"/>
  <c r="X132" i="4"/>
  <c r="X133" i="4"/>
  <c r="X134" i="4"/>
  <c r="X135" i="4"/>
  <c r="X136" i="4"/>
  <c r="X137" i="4"/>
  <c r="X138" i="4"/>
  <c r="X139" i="4"/>
  <c r="X140" i="4"/>
  <c r="X141" i="4"/>
  <c r="X142" i="4"/>
  <c r="X143" i="4"/>
  <c r="X144" i="4"/>
  <c r="X145" i="4"/>
  <c r="X146" i="4"/>
  <c r="X147" i="4"/>
  <c r="X148" i="4"/>
  <c r="X149" i="4"/>
  <c r="X150" i="4"/>
  <c r="X151" i="4"/>
  <c r="X152" i="4"/>
  <c r="X153" i="4"/>
  <c r="X154" i="4"/>
  <c r="X155" i="4"/>
  <c r="X156" i="4"/>
  <c r="X157" i="4"/>
  <c r="X158" i="4"/>
  <c r="X159" i="4"/>
  <c r="X160" i="4"/>
  <c r="X161" i="4"/>
  <c r="X162" i="4"/>
  <c r="X163" i="4"/>
  <c r="X164" i="4"/>
  <c r="X165" i="4"/>
  <c r="X166" i="4"/>
  <c r="X167" i="4"/>
  <c r="X168" i="4"/>
  <c r="X169" i="4"/>
  <c r="X170" i="4"/>
  <c r="X171" i="4"/>
  <c r="X172" i="4"/>
  <c r="X173" i="4"/>
  <c r="X174" i="4"/>
  <c r="X175" i="4"/>
  <c r="X176" i="4"/>
  <c r="X177" i="4"/>
  <c r="X178" i="4"/>
  <c r="X179" i="4"/>
  <c r="X180" i="4"/>
  <c r="X181" i="4"/>
  <c r="X182" i="4"/>
  <c r="X183" i="4"/>
  <c r="X184" i="4"/>
  <c r="X185" i="4"/>
  <c r="X186" i="4"/>
  <c r="X187" i="4"/>
  <c r="X188" i="4"/>
  <c r="X189" i="4"/>
  <c r="X190" i="4"/>
  <c r="X191" i="4"/>
  <c r="X192" i="4"/>
  <c r="X193" i="4"/>
  <c r="X194" i="4"/>
  <c r="X195" i="4"/>
  <c r="X196" i="4"/>
  <c r="X197" i="4"/>
  <c r="X198" i="4"/>
  <c r="X199" i="4"/>
  <c r="X200" i="4"/>
  <c r="X201" i="4"/>
  <c r="X202" i="4"/>
  <c r="X203" i="4"/>
  <c r="X204" i="4"/>
  <c r="X205" i="4"/>
  <c r="X206" i="4"/>
  <c r="X207" i="4"/>
  <c r="X208" i="4"/>
  <c r="X209" i="4"/>
  <c r="X210" i="4"/>
  <c r="X211" i="4"/>
  <c r="X212" i="4"/>
  <c r="X213" i="4"/>
  <c r="X214" i="4"/>
  <c r="X215" i="4"/>
  <c r="X216" i="4"/>
  <c r="X217" i="4"/>
  <c r="X218" i="4"/>
  <c r="X219" i="4"/>
  <c r="X220" i="4"/>
  <c r="X221" i="4"/>
  <c r="X2"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P191" i="4"/>
  <c r="P192" i="4"/>
  <c r="P193" i="4"/>
  <c r="P194" i="4"/>
  <c r="P195" i="4"/>
  <c r="P196" i="4"/>
  <c r="P197" i="4"/>
  <c r="P198" i="4"/>
  <c r="P199" i="4"/>
  <c r="P200" i="4"/>
  <c r="P201" i="4"/>
  <c r="P202" i="4"/>
  <c r="P203" i="4"/>
  <c r="P204" i="4"/>
  <c r="P205" i="4"/>
  <c r="P206" i="4"/>
  <c r="P207" i="4"/>
  <c r="P208" i="4"/>
  <c r="P209" i="4"/>
  <c r="P210" i="4"/>
  <c r="P211" i="4"/>
  <c r="P212" i="4"/>
  <c r="P213" i="4"/>
  <c r="P214" i="4"/>
  <c r="P215" i="4"/>
  <c r="P216" i="4"/>
  <c r="P217" i="4"/>
  <c r="P218" i="4"/>
  <c r="P219" i="4"/>
  <c r="P220" i="4"/>
  <c r="P221" i="4"/>
  <c r="P2" i="4"/>
  <c r="AF3" i="4"/>
  <c r="AF4" i="4"/>
  <c r="AF5" i="4"/>
  <c r="AF6" i="4"/>
  <c r="AF7" i="4"/>
  <c r="AF8" i="4"/>
  <c r="AF9" i="4"/>
  <c r="AF10" i="4"/>
  <c r="AF11" i="4"/>
  <c r="AF12" i="4"/>
  <c r="AF13" i="4"/>
  <c r="AF14" i="4"/>
  <c r="AF15" i="4"/>
  <c r="AF16" i="4"/>
  <c r="AF17" i="4"/>
  <c r="AF18" i="4"/>
  <c r="AF19" i="4"/>
  <c r="AF20" i="4"/>
  <c r="AF21" i="4"/>
  <c r="AF22" i="4"/>
  <c r="AF23" i="4"/>
  <c r="AF24" i="4"/>
  <c r="AF25" i="4"/>
  <c r="AF26" i="4"/>
  <c r="AF27" i="4"/>
  <c r="AF28" i="4"/>
  <c r="AF29" i="4"/>
  <c r="AF30" i="4"/>
  <c r="AF31" i="4"/>
  <c r="AF32" i="4"/>
  <c r="AF33" i="4"/>
  <c r="AF34" i="4"/>
  <c r="AF35" i="4"/>
  <c r="AF36" i="4"/>
  <c r="AF37" i="4"/>
  <c r="AF38" i="4"/>
  <c r="AF39" i="4"/>
  <c r="AF40" i="4"/>
  <c r="AF41" i="4"/>
  <c r="AF42" i="4"/>
  <c r="AF43" i="4"/>
  <c r="AF44" i="4"/>
  <c r="AF45" i="4"/>
  <c r="AF46" i="4"/>
  <c r="AF47" i="4"/>
  <c r="AF48" i="4"/>
  <c r="AF49" i="4"/>
  <c r="AF50" i="4"/>
  <c r="AF51" i="4"/>
  <c r="AF52" i="4"/>
  <c r="AF53" i="4"/>
  <c r="AF54" i="4"/>
  <c r="AF55" i="4"/>
  <c r="AF56" i="4"/>
  <c r="AF57" i="4"/>
  <c r="AF58" i="4"/>
  <c r="AF59" i="4"/>
  <c r="AF60" i="4"/>
  <c r="AF61" i="4"/>
  <c r="AF62" i="4"/>
  <c r="AF63" i="4"/>
  <c r="AF64" i="4"/>
  <c r="AF65" i="4"/>
  <c r="AF66" i="4"/>
  <c r="AF67" i="4"/>
  <c r="AF68" i="4"/>
  <c r="AF69" i="4"/>
  <c r="AF70" i="4"/>
  <c r="AF71" i="4"/>
  <c r="AF72" i="4"/>
  <c r="AF73" i="4"/>
  <c r="AF74" i="4"/>
  <c r="AF75" i="4"/>
  <c r="AF76" i="4"/>
  <c r="AF77" i="4"/>
  <c r="AF78" i="4"/>
  <c r="AF79" i="4"/>
  <c r="AF80" i="4"/>
  <c r="AF81" i="4"/>
  <c r="AF82" i="4"/>
  <c r="AF83" i="4"/>
  <c r="AF84" i="4"/>
  <c r="AF85" i="4"/>
  <c r="AF86" i="4"/>
  <c r="AF87" i="4"/>
  <c r="AF88" i="4"/>
  <c r="AF89" i="4"/>
  <c r="AF90" i="4"/>
  <c r="AF91" i="4"/>
  <c r="AF92" i="4"/>
  <c r="AF93" i="4"/>
  <c r="AF94" i="4"/>
  <c r="AF95" i="4"/>
  <c r="AF96" i="4"/>
  <c r="AF97" i="4"/>
  <c r="AF98" i="4"/>
  <c r="AF99" i="4"/>
  <c r="AF100" i="4"/>
  <c r="AF101" i="4"/>
  <c r="AF102" i="4"/>
  <c r="AF103" i="4"/>
  <c r="AF104" i="4"/>
  <c r="AF105" i="4"/>
  <c r="AF106" i="4"/>
  <c r="AF107" i="4"/>
  <c r="AF108" i="4"/>
  <c r="AF109" i="4"/>
  <c r="AF110" i="4"/>
  <c r="AF111" i="4"/>
  <c r="AF112" i="4"/>
  <c r="AF113" i="4"/>
  <c r="AF114" i="4"/>
  <c r="AF115" i="4"/>
  <c r="AF116" i="4"/>
  <c r="AF117" i="4"/>
  <c r="AF118" i="4"/>
  <c r="AF119" i="4"/>
  <c r="AF120" i="4"/>
  <c r="AF121" i="4"/>
  <c r="AF122" i="4"/>
  <c r="AF123" i="4"/>
  <c r="AF124" i="4"/>
  <c r="AF125" i="4"/>
  <c r="AF126" i="4"/>
  <c r="AF127" i="4"/>
  <c r="AF128" i="4"/>
  <c r="AF129" i="4"/>
  <c r="AF130" i="4"/>
  <c r="AF131" i="4"/>
  <c r="AF132" i="4"/>
  <c r="AF133" i="4"/>
  <c r="AF134" i="4"/>
  <c r="AF135" i="4"/>
  <c r="AF136" i="4"/>
  <c r="AF137" i="4"/>
  <c r="AF138" i="4"/>
  <c r="AF139" i="4"/>
  <c r="AF140" i="4"/>
  <c r="AF141" i="4"/>
  <c r="AF142" i="4"/>
  <c r="AF143" i="4"/>
  <c r="AF144" i="4"/>
  <c r="AF145" i="4"/>
  <c r="AF146" i="4"/>
  <c r="AF147" i="4"/>
  <c r="AF148" i="4"/>
  <c r="AF149" i="4"/>
  <c r="AF150" i="4"/>
  <c r="AF151" i="4"/>
  <c r="AF152" i="4"/>
  <c r="AF153" i="4"/>
  <c r="AF154" i="4"/>
  <c r="AF155" i="4"/>
  <c r="AF156" i="4"/>
  <c r="AF157" i="4"/>
  <c r="AF158" i="4"/>
  <c r="AF159" i="4"/>
  <c r="AF160" i="4"/>
  <c r="AF161" i="4"/>
  <c r="AF162" i="4"/>
  <c r="AF163" i="4"/>
  <c r="AF164" i="4"/>
  <c r="AF165" i="4"/>
  <c r="AF166" i="4"/>
  <c r="AF167" i="4"/>
  <c r="AF168" i="4"/>
  <c r="AF169" i="4"/>
  <c r="AF170" i="4"/>
  <c r="AF171" i="4"/>
  <c r="AF172" i="4"/>
  <c r="AF173" i="4"/>
  <c r="AF174" i="4"/>
  <c r="AF175" i="4"/>
  <c r="AF176" i="4"/>
  <c r="AF177" i="4"/>
  <c r="AF178" i="4"/>
  <c r="AF179" i="4"/>
  <c r="AF180" i="4"/>
  <c r="AF181" i="4"/>
  <c r="AF182" i="4"/>
  <c r="AF183" i="4"/>
  <c r="AF184" i="4"/>
  <c r="AF185" i="4"/>
  <c r="AF186" i="4"/>
  <c r="AF187" i="4"/>
  <c r="AF188" i="4"/>
  <c r="AF189" i="4"/>
  <c r="AF190" i="4"/>
  <c r="AF191" i="4"/>
  <c r="AF192" i="4"/>
  <c r="AF193" i="4"/>
  <c r="AF194" i="4"/>
  <c r="AF195" i="4"/>
  <c r="AF196" i="4"/>
  <c r="AF197" i="4"/>
  <c r="AF198" i="4"/>
  <c r="AF199" i="4"/>
  <c r="AF200" i="4"/>
  <c r="AF201" i="4"/>
  <c r="AF202" i="4"/>
  <c r="AF203" i="4"/>
  <c r="AF204" i="4"/>
  <c r="AF205" i="4"/>
  <c r="AF206" i="4"/>
  <c r="AF207" i="4"/>
  <c r="AF208" i="4"/>
  <c r="AF209" i="4"/>
  <c r="AF210" i="4"/>
  <c r="AF211" i="4"/>
  <c r="AF212" i="4"/>
  <c r="AF213" i="4"/>
  <c r="AF214" i="4"/>
  <c r="AF215" i="4"/>
  <c r="AF216" i="4"/>
  <c r="AF217" i="4"/>
  <c r="AF218" i="4"/>
  <c r="AF219" i="4"/>
  <c r="AF220" i="4"/>
  <c r="AF221" i="4"/>
  <c r="AF2" i="4"/>
  <c r="CW226" i="2" l="1"/>
  <c r="CW149" i="2"/>
  <c r="CW213" i="2"/>
  <c r="CW223" i="2"/>
  <c r="CW174" i="2"/>
  <c r="CW63" i="2"/>
  <c r="CW84" i="2"/>
  <c r="CW169" i="2"/>
  <c r="CW191" i="2"/>
  <c r="CW221" i="2"/>
  <c r="CW74" i="2"/>
  <c r="CW159" i="2"/>
  <c r="CW188" i="2"/>
  <c r="CW123" i="2"/>
  <c r="CW187" i="2"/>
  <c r="CW194" i="2"/>
  <c r="CW211" i="2"/>
  <c r="CW34" i="2"/>
  <c r="CW31" i="2"/>
  <c r="CW61" i="2"/>
  <c r="CW91" i="2"/>
  <c r="CW176" i="2"/>
  <c r="CW184" i="2"/>
  <c r="CW177" i="2"/>
  <c r="CW222" i="2"/>
  <c r="CW113" i="2"/>
  <c r="CW134" i="2"/>
  <c r="CW135" i="2"/>
  <c r="CW225" i="2"/>
  <c r="CW198" i="2"/>
  <c r="CW77" i="2"/>
  <c r="CW3" i="2"/>
  <c r="CW130" i="2"/>
  <c r="CW133" i="2"/>
  <c r="CW127" i="2"/>
  <c r="CW227" i="2"/>
  <c r="CW224" i="2"/>
  <c r="CW20" i="2"/>
  <c r="CW73" i="2"/>
  <c r="CW185" i="2"/>
  <c r="CW117" i="2"/>
  <c r="CW228" i="2"/>
  <c r="CW5" i="2"/>
  <c r="CW158" i="2"/>
  <c r="CW229" i="2"/>
  <c r="CW114" i="2"/>
  <c r="CW48" i="2"/>
  <c r="CW143" i="2"/>
  <c r="CW197" i="2"/>
  <c r="CW154" i="2"/>
  <c r="CW156" i="2"/>
  <c r="CW155" i="2"/>
  <c r="CW11" i="2"/>
  <c r="CW180" i="2"/>
  <c r="CW55" i="2"/>
  <c r="BR121" i="2" l="1"/>
  <c r="BR74" i="2"/>
  <c r="CL59" i="2" l="1"/>
  <c r="CL55" i="2"/>
  <c r="CL78" i="2"/>
  <c r="CL11" i="2"/>
  <c r="CL10" i="2"/>
  <c r="CL9" i="2"/>
  <c r="CL156" i="2"/>
  <c r="CL154" i="2"/>
  <c r="CL43" i="2"/>
  <c r="CL147" i="2"/>
  <c r="CL229" i="2"/>
  <c r="CL158" i="2"/>
  <c r="CL228" i="2"/>
  <c r="CL117" i="2"/>
  <c r="CL201" i="2"/>
  <c r="CL46" i="2"/>
  <c r="CL205" i="2"/>
  <c r="CL89" i="2"/>
  <c r="CL4" i="2"/>
  <c r="CL81" i="2"/>
  <c r="CL42" i="2"/>
  <c r="CL83" i="2"/>
  <c r="CL44" i="2"/>
  <c r="CL185" i="2"/>
  <c r="CL96" i="2"/>
  <c r="CL95" i="2"/>
  <c r="CL7" i="2"/>
  <c r="CL94" i="2"/>
  <c r="CL182" i="2"/>
  <c r="CL73" i="2"/>
  <c r="CL20" i="2"/>
  <c r="CL207" i="2"/>
  <c r="CL206" i="2"/>
  <c r="CL136" i="2"/>
  <c r="CL54" i="2"/>
  <c r="CL58" i="2"/>
  <c r="CL224" i="2"/>
  <c r="CL227" i="2"/>
  <c r="CL92" i="2"/>
  <c r="CL69" i="2"/>
  <c r="CL138" i="2"/>
  <c r="CL137" i="2"/>
  <c r="CL127" i="2"/>
  <c r="CL133" i="2"/>
  <c r="CL76" i="2"/>
  <c r="CL93" i="2"/>
  <c r="CL39" i="2"/>
  <c r="CL130" i="2"/>
  <c r="CL45" i="2"/>
  <c r="CL85" i="2"/>
  <c r="CL38" i="2"/>
  <c r="CL3" i="2"/>
  <c r="CL77" i="2"/>
  <c r="CL204" i="2"/>
  <c r="CL203" i="2"/>
  <c r="CL71" i="2"/>
  <c r="CL198" i="2"/>
  <c r="CL225" i="2"/>
  <c r="CL113" i="2"/>
  <c r="CL222" i="2"/>
  <c r="CL230" i="2"/>
  <c r="CL183" i="2"/>
  <c r="CL139" i="2"/>
  <c r="CL140" i="2"/>
  <c r="CL184" i="2"/>
  <c r="CL192" i="2"/>
  <c r="CL18" i="2"/>
  <c r="CL91" i="2"/>
  <c r="CL61" i="2"/>
  <c r="CL181" i="2"/>
  <c r="CL36" i="2"/>
  <c r="CL202" i="2"/>
  <c r="CL72" i="2"/>
  <c r="CL212" i="2"/>
  <c r="CL67" i="2"/>
  <c r="CL66" i="2"/>
  <c r="CL14" i="2"/>
  <c r="CL219" i="2"/>
  <c r="CL15" i="2"/>
  <c r="CL125" i="2"/>
  <c r="CL35" i="2"/>
  <c r="CL31" i="2"/>
  <c r="CL34" i="2"/>
  <c r="CL107" i="2"/>
  <c r="CL211" i="2"/>
  <c r="CL37" i="2"/>
  <c r="CL220" i="2"/>
  <c r="CL209" i="2"/>
  <c r="CL168" i="2"/>
  <c r="CL218" i="2"/>
  <c r="CL217" i="2"/>
  <c r="CL216" i="2"/>
  <c r="CL215" i="2"/>
  <c r="CL214" i="2"/>
  <c r="CL193" i="2"/>
  <c r="CL187" i="2"/>
  <c r="CL13" i="2"/>
  <c r="CL49" i="2"/>
  <c r="CL53" i="2"/>
  <c r="CL40" i="2"/>
  <c r="CL210" i="2"/>
  <c r="CL142" i="2"/>
  <c r="CL131" i="2"/>
  <c r="CL112" i="2"/>
  <c r="CL123" i="2"/>
  <c r="CL122" i="2"/>
  <c r="CL121" i="2"/>
  <c r="CL12" i="2"/>
  <c r="CL189" i="2"/>
  <c r="CL188" i="2"/>
  <c r="CL103" i="2"/>
  <c r="CL102" i="2"/>
  <c r="CL100" i="2"/>
  <c r="CL2" i="2"/>
  <c r="CL178" i="2"/>
  <c r="CL159" i="2"/>
  <c r="CL23" i="2"/>
  <c r="CL118" i="2"/>
  <c r="CL132" i="2"/>
  <c r="CL115" i="2"/>
  <c r="CL74" i="2"/>
  <c r="CL221" i="2"/>
  <c r="CL191" i="2"/>
  <c r="CL186" i="2"/>
  <c r="CL75" i="2"/>
  <c r="CL169" i="2"/>
  <c r="CL84" i="2"/>
  <c r="CL199" i="2"/>
  <c r="CL65" i="2"/>
  <c r="CL64" i="2"/>
  <c r="CL63" i="2"/>
  <c r="CL174" i="2"/>
  <c r="CL129" i="2"/>
  <c r="CL213" i="2"/>
  <c r="CL167" i="2"/>
  <c r="CL51" i="2"/>
  <c r="CL149" i="2"/>
  <c r="CL166" i="2"/>
  <c r="CL173" i="2"/>
  <c r="CL226" i="2"/>
  <c r="CL151" i="2"/>
  <c r="CL41" i="2"/>
  <c r="CL135" i="2"/>
  <c r="CL134" i="2"/>
  <c r="CL177" i="2"/>
  <c r="CL176" i="2"/>
  <c r="CL60" i="2"/>
  <c r="CC41" i="2"/>
  <c r="CC135" i="2"/>
  <c r="CC177" i="2"/>
  <c r="CC176" i="2"/>
  <c r="CC60" i="2"/>
  <c r="CC59" i="2"/>
  <c r="CC55" i="2"/>
  <c r="CC99" i="2"/>
  <c r="CC11" i="2"/>
  <c r="CC162" i="2"/>
  <c r="CC10" i="2"/>
  <c r="CC9" i="2"/>
  <c r="CC8" i="2"/>
  <c r="CC155" i="2"/>
  <c r="CC156" i="2"/>
  <c r="CC154" i="2"/>
  <c r="CC197" i="2"/>
  <c r="CC43" i="2"/>
  <c r="CC143" i="2"/>
  <c r="CC48" i="2"/>
  <c r="CC114" i="2"/>
  <c r="CC87" i="2"/>
  <c r="CC229" i="2"/>
  <c r="CC158" i="2"/>
  <c r="CC5" i="2"/>
  <c r="CC228" i="2"/>
  <c r="CC117" i="2"/>
  <c r="CC201" i="2"/>
  <c r="CC205" i="2"/>
  <c r="CC89" i="2"/>
  <c r="CC82" i="2"/>
  <c r="CC170" i="2"/>
  <c r="CC80" i="2"/>
  <c r="CC79" i="2"/>
  <c r="CC57" i="2"/>
  <c r="CC195" i="2"/>
  <c r="CC4" i="2"/>
  <c r="CC81" i="2"/>
  <c r="CC42" i="2"/>
  <c r="CC83" i="2"/>
  <c r="CC185" i="2"/>
  <c r="CC19" i="2"/>
  <c r="CC98" i="2"/>
  <c r="CC90" i="2"/>
  <c r="CC153" i="2"/>
  <c r="CC95" i="2"/>
  <c r="CC7" i="2"/>
  <c r="CC6" i="2"/>
  <c r="CC94" i="2"/>
  <c r="CC182" i="2"/>
  <c r="CC73" i="2"/>
  <c r="CC20" i="2"/>
  <c r="CC207" i="2"/>
  <c r="CC206" i="2"/>
  <c r="CC136" i="2"/>
  <c r="CC54" i="2"/>
  <c r="CC58" i="2"/>
  <c r="CC224" i="2"/>
  <c r="CC126" i="2"/>
  <c r="CC227" i="2"/>
  <c r="CC171" i="2"/>
  <c r="CC172" i="2"/>
  <c r="CC92" i="2"/>
  <c r="CC88" i="2"/>
  <c r="CC69" i="2"/>
  <c r="CC138" i="2"/>
  <c r="CC137" i="2"/>
  <c r="CC127" i="2"/>
  <c r="CC133" i="2"/>
  <c r="CC70" i="2"/>
  <c r="CC22" i="2"/>
  <c r="CC76" i="2"/>
  <c r="CC93" i="2"/>
  <c r="CC39" i="2"/>
  <c r="CC130" i="2"/>
  <c r="CC38" i="2"/>
  <c r="CC3" i="2"/>
  <c r="CC56" i="2"/>
  <c r="CC77" i="2"/>
  <c r="CC204" i="2"/>
  <c r="CC203" i="2"/>
  <c r="CC198" i="2"/>
  <c r="CC225" i="2"/>
  <c r="CC113" i="2"/>
  <c r="CC222" i="2"/>
  <c r="CC230" i="2"/>
  <c r="CC183" i="2"/>
  <c r="CC139" i="2"/>
  <c r="CC140" i="2"/>
  <c r="CC184" i="2"/>
  <c r="CC192" i="2"/>
  <c r="CC18" i="2"/>
  <c r="CC91" i="2"/>
  <c r="CC61" i="2"/>
  <c r="CC181" i="2"/>
  <c r="CC36" i="2"/>
  <c r="CC202" i="2"/>
  <c r="CC72" i="2"/>
  <c r="CC212" i="2"/>
  <c r="CC219" i="2"/>
  <c r="CC15" i="2"/>
  <c r="CC125" i="2"/>
  <c r="CC35" i="2"/>
  <c r="CC31" i="2"/>
  <c r="CC34" i="2"/>
  <c r="CC211" i="2"/>
  <c r="CC37" i="2"/>
  <c r="CC220" i="2"/>
  <c r="CC209" i="2"/>
  <c r="CC168" i="2"/>
  <c r="CC218" i="2"/>
  <c r="CC217" i="2"/>
  <c r="CC216" i="2"/>
  <c r="CC215" i="2"/>
  <c r="CC214" i="2"/>
  <c r="CC193" i="2"/>
  <c r="CC187" i="2"/>
  <c r="CC13" i="2"/>
  <c r="CC27" i="2"/>
  <c r="CC49" i="2"/>
  <c r="CC53" i="2"/>
  <c r="CC40" i="2"/>
  <c r="CC210" i="2"/>
  <c r="CC142" i="2"/>
  <c r="CC131" i="2"/>
  <c r="CC112" i="2"/>
  <c r="CC123" i="2"/>
  <c r="CC122" i="2"/>
  <c r="CC121" i="2"/>
  <c r="CC12" i="2"/>
  <c r="CC161" i="2"/>
  <c r="CC160" i="2"/>
  <c r="CC159" i="2"/>
  <c r="CC25" i="2"/>
  <c r="CC23" i="2"/>
  <c r="CC196" i="2"/>
  <c r="CC132" i="2"/>
  <c r="CC141" i="2"/>
  <c r="CC116" i="2"/>
  <c r="CC115" i="2"/>
  <c r="CC74" i="2"/>
  <c r="CC221" i="2"/>
  <c r="CC191" i="2"/>
  <c r="CC186" i="2"/>
  <c r="CC75" i="2"/>
  <c r="CC84" i="2"/>
  <c r="CC145" i="2"/>
  <c r="CC144" i="2"/>
  <c r="CC199" i="2"/>
  <c r="CC65" i="2"/>
  <c r="CC63" i="2"/>
  <c r="CC129" i="2"/>
  <c r="CC223" i="2"/>
  <c r="CC213" i="2"/>
  <c r="CC51" i="2"/>
  <c r="CC149" i="2"/>
  <c r="CC166" i="2"/>
  <c r="CC226" i="2"/>
  <c r="BU41" i="2"/>
  <c r="BU135" i="2"/>
  <c r="BU134" i="2"/>
  <c r="BU177" i="2"/>
  <c r="BU176" i="2"/>
  <c r="BU60" i="2"/>
  <c r="BU59" i="2"/>
  <c r="BU55" i="2"/>
  <c r="BU99" i="2"/>
  <c r="BU78" i="2"/>
  <c r="BU180" i="2"/>
  <c r="BU11" i="2"/>
  <c r="BU162" i="2"/>
  <c r="BU24" i="2"/>
  <c r="BU26" i="2"/>
  <c r="BU30" i="2"/>
  <c r="BU29" i="2"/>
  <c r="BU10" i="2"/>
  <c r="BU9" i="2"/>
  <c r="BU8" i="2"/>
  <c r="BU155" i="2"/>
  <c r="BU156" i="2"/>
  <c r="BU154" i="2"/>
  <c r="BU197" i="2"/>
  <c r="BU43" i="2"/>
  <c r="BU143" i="2"/>
  <c r="BU147" i="2"/>
  <c r="BU48" i="2"/>
  <c r="BU114" i="2"/>
  <c r="BU87" i="2"/>
  <c r="BU86" i="2"/>
  <c r="BU47" i="2"/>
  <c r="BU229" i="2"/>
  <c r="BU158" i="2"/>
  <c r="BU5" i="2"/>
  <c r="BU228" i="2"/>
  <c r="BU117" i="2"/>
  <c r="BU201" i="2"/>
  <c r="BU97" i="2"/>
  <c r="BU157" i="2"/>
  <c r="BU46" i="2"/>
  <c r="BU200" i="2"/>
  <c r="BU205" i="2"/>
  <c r="BU89" i="2"/>
  <c r="BU208" i="2"/>
  <c r="BU68" i="2"/>
  <c r="BU82" i="2"/>
  <c r="BU170" i="2"/>
  <c r="BU80" i="2"/>
  <c r="BU79" i="2"/>
  <c r="BU57" i="2"/>
  <c r="BU195" i="2"/>
  <c r="BU4" i="2"/>
  <c r="BU81" i="2"/>
  <c r="BU42" i="2"/>
  <c r="BU83" i="2"/>
  <c r="BU175" i="2"/>
  <c r="BU44" i="2"/>
  <c r="BU185" i="2"/>
  <c r="BU19" i="2"/>
  <c r="BU98" i="2"/>
  <c r="BU90" i="2"/>
  <c r="BU153" i="2"/>
  <c r="BU96" i="2"/>
  <c r="BU95" i="2"/>
  <c r="BU7" i="2"/>
  <c r="BU6" i="2"/>
  <c r="BU94" i="2"/>
  <c r="BU182" i="2"/>
  <c r="BU73" i="2"/>
  <c r="BU20" i="2"/>
  <c r="BU207" i="2"/>
  <c r="BU206" i="2"/>
  <c r="BU136" i="2"/>
  <c r="BU54" i="2"/>
  <c r="BU58" i="2"/>
  <c r="BU224" i="2"/>
  <c r="BU126" i="2"/>
  <c r="BU21" i="2"/>
  <c r="BU227" i="2"/>
  <c r="BU171" i="2"/>
  <c r="BU172" i="2"/>
  <c r="BU124" i="2"/>
  <c r="BU92" i="2"/>
  <c r="BU88" i="2"/>
  <c r="BU69" i="2"/>
  <c r="BU138" i="2"/>
  <c r="BU137" i="2"/>
  <c r="BU127" i="2"/>
  <c r="BU133" i="2"/>
  <c r="BU70" i="2"/>
  <c r="BU22" i="2"/>
  <c r="BU76" i="2"/>
  <c r="BU93" i="2"/>
  <c r="BU39" i="2"/>
  <c r="BU130" i="2"/>
  <c r="BU45" i="2"/>
  <c r="BU85" i="2"/>
  <c r="BU38" i="2"/>
  <c r="BU3" i="2"/>
  <c r="BU56" i="2"/>
  <c r="BU77" i="2"/>
  <c r="BU204" i="2"/>
  <c r="BU203" i="2"/>
  <c r="BU71" i="2"/>
  <c r="BU198" i="2"/>
  <c r="BU148" i="2"/>
  <c r="BU225" i="2"/>
  <c r="BU113" i="2"/>
  <c r="BU222" i="2"/>
  <c r="BU230" i="2"/>
  <c r="BU183" i="2"/>
  <c r="BU139" i="2"/>
  <c r="BU140" i="2"/>
  <c r="BU184" i="2"/>
  <c r="BU192" i="2"/>
  <c r="BU18" i="2"/>
  <c r="BU91" i="2"/>
  <c r="BU61" i="2"/>
  <c r="BU181" i="2"/>
  <c r="BU36" i="2"/>
  <c r="BU202" i="2"/>
  <c r="BU72" i="2"/>
  <c r="BU212" i="2"/>
  <c r="BU67" i="2"/>
  <c r="BU66" i="2"/>
  <c r="BU14" i="2"/>
  <c r="BU219" i="2"/>
  <c r="BU52" i="2"/>
  <c r="BU17" i="2"/>
  <c r="BU16" i="2"/>
  <c r="BU165" i="2"/>
  <c r="BU15" i="2"/>
  <c r="BU33" i="2"/>
  <c r="BU32" i="2"/>
  <c r="BU125" i="2"/>
  <c r="BU146" i="2"/>
  <c r="BU35" i="2"/>
  <c r="BU31" i="2"/>
  <c r="BU34" i="2"/>
  <c r="BU111" i="2"/>
  <c r="BU110" i="2"/>
  <c r="BU109" i="2"/>
  <c r="BU108" i="2"/>
  <c r="BU107" i="2"/>
  <c r="BU106" i="2"/>
  <c r="BU105" i="2"/>
  <c r="BU211" i="2"/>
  <c r="BU28" i="2"/>
  <c r="BU37" i="2"/>
  <c r="BU220" i="2"/>
  <c r="BU209" i="2"/>
  <c r="BU194" i="2"/>
  <c r="BU168" i="2"/>
  <c r="BU218" i="2"/>
  <c r="BU217" i="2"/>
  <c r="BU216" i="2"/>
  <c r="BU215" i="2"/>
  <c r="BU214" i="2"/>
  <c r="BU193" i="2"/>
  <c r="BU187" i="2"/>
  <c r="BU13" i="2"/>
  <c r="BU27" i="2"/>
  <c r="BU49" i="2"/>
  <c r="BU53" i="2"/>
  <c r="BU40" i="2"/>
  <c r="BU210" i="2"/>
  <c r="BU142" i="2"/>
  <c r="BU131" i="2"/>
  <c r="BU112" i="2"/>
  <c r="BU123" i="2"/>
  <c r="BU122" i="2"/>
  <c r="BU121" i="2"/>
  <c r="BU12" i="2"/>
  <c r="BU150" i="2"/>
  <c r="BU190" i="2"/>
  <c r="BU189" i="2"/>
  <c r="BU188" i="2"/>
  <c r="BU164" i="2"/>
  <c r="BU163" i="2"/>
  <c r="BU104" i="2"/>
  <c r="BU103" i="2"/>
  <c r="BU102" i="2"/>
  <c r="BU101" i="2"/>
  <c r="BU100" i="2"/>
  <c r="BU2" i="2"/>
  <c r="BU179" i="2"/>
  <c r="BU178" i="2"/>
  <c r="BU161" i="2"/>
  <c r="BU160" i="2"/>
  <c r="BU159" i="2"/>
  <c r="BU25" i="2"/>
  <c r="BU23" i="2"/>
  <c r="BU196" i="2"/>
  <c r="BU120" i="2"/>
  <c r="BU119" i="2"/>
  <c r="BU118" i="2"/>
  <c r="BU132" i="2"/>
  <c r="BU141" i="2"/>
  <c r="BU116" i="2"/>
  <c r="BU115" i="2"/>
  <c r="BU74" i="2"/>
  <c r="BU221" i="2"/>
  <c r="BU191" i="2"/>
  <c r="BU186" i="2"/>
  <c r="BU75" i="2"/>
  <c r="BU169" i="2"/>
  <c r="BU84" i="2"/>
  <c r="BU145" i="2"/>
  <c r="BU144" i="2"/>
  <c r="BU199" i="2"/>
  <c r="BU65" i="2"/>
  <c r="BU64" i="2"/>
  <c r="BU63" i="2"/>
  <c r="BU174" i="2"/>
  <c r="BU129" i="2"/>
  <c r="BU223" i="2"/>
  <c r="BU213" i="2"/>
  <c r="BU167" i="2"/>
  <c r="BU62" i="2"/>
  <c r="BU51" i="2"/>
  <c r="BU149" i="2"/>
  <c r="BU166" i="2"/>
  <c r="BU128" i="2"/>
  <c r="BU173" i="2"/>
  <c r="BU50" i="2"/>
  <c r="BU226" i="2"/>
  <c r="BU152" i="2"/>
  <c r="BU151" i="2"/>
  <c r="BU231" i="2" l="1"/>
  <c r="CF56" i="2"/>
  <c r="CX56" i="2"/>
  <c r="CS56" i="2"/>
  <c r="CS203" i="2"/>
  <c r="CW203" i="2" s="1"/>
  <c r="CG56" i="2"/>
  <c r="AB135" i="4"/>
  <c r="CS204" i="2"/>
  <c r="CW204" i="2" s="1"/>
  <c r="CL56" i="2" l="1"/>
  <c r="M50" i="4"/>
  <c r="CS178" i="2"/>
  <c r="CW178" i="2" s="1"/>
  <c r="BX178" i="2"/>
  <c r="CC178" i="2" s="1"/>
  <c r="BM26" i="3" l="1"/>
  <c r="BM25" i="3"/>
  <c r="BM24" i="3"/>
  <c r="AB221" i="4" l="1"/>
  <c r="BM22" i="3"/>
  <c r="BM21" i="3" l="1"/>
  <c r="AB220" i="4" l="1"/>
  <c r="U220" i="4"/>
  <c r="BX78" i="2"/>
  <c r="BY78" i="2"/>
  <c r="CG99" i="2"/>
  <c r="CL99" i="2" s="1"/>
  <c r="CS99" i="2"/>
  <c r="CW99" i="2" s="1"/>
  <c r="CS78" i="2"/>
  <c r="CW78" i="2" s="1"/>
  <c r="CG180" i="2"/>
  <c r="CL180" i="2" s="1"/>
  <c r="BY180" i="2"/>
  <c r="CC180" i="2" s="1"/>
  <c r="U219" i="4"/>
  <c r="AB219" i="4"/>
  <c r="CS41" i="2"/>
  <c r="CW41" i="2" s="1"/>
  <c r="CS162" i="2"/>
  <c r="CW162" i="2" s="1"/>
  <c r="CF162" i="2"/>
  <c r="CL162" i="2" s="1"/>
  <c r="CC78" i="2" l="1"/>
  <c r="BR24" i="2"/>
  <c r="CS24" i="2"/>
  <c r="CW24" i="2" s="1"/>
  <c r="CF24" i="2"/>
  <c r="CL24" i="2" s="1"/>
  <c r="BX24" i="2"/>
  <c r="CC24" i="2" s="1"/>
  <c r="CT30" i="2"/>
  <c r="CS30" i="2"/>
  <c r="CW30" i="2" s="1"/>
  <c r="CF30" i="2"/>
  <c r="CL30" i="2" s="1"/>
  <c r="BX30" i="2"/>
  <c r="CC30" i="2" s="1"/>
  <c r="BR30" i="2"/>
  <c r="CS26" i="2"/>
  <c r="CW26" i="2" s="1"/>
  <c r="BR26" i="2"/>
  <c r="CF26" i="2"/>
  <c r="CL26" i="2" s="1"/>
  <c r="BX26" i="2"/>
  <c r="CC26" i="2" s="1"/>
  <c r="BR29" i="2"/>
  <c r="CT29" i="2"/>
  <c r="CS29" i="2"/>
  <c r="CF29" i="2"/>
  <c r="CL29" i="2" s="1"/>
  <c r="BX29" i="2"/>
  <c r="CC29" i="2" s="1"/>
  <c r="AB114" i="4"/>
  <c r="CS10" i="2"/>
  <c r="CW10" i="2" s="1"/>
  <c r="CS9" i="2"/>
  <c r="CW9" i="2" s="1"/>
  <c r="CX8" i="2"/>
  <c r="CS8" i="2"/>
  <c r="CW8" i="2" s="1"/>
  <c r="AB218" i="4"/>
  <c r="AG218" i="4"/>
  <c r="CF8" i="2"/>
  <c r="CL8" i="2" s="1"/>
  <c r="CF155" i="2"/>
  <c r="CL155" i="2" s="1"/>
  <c r="T216" i="4"/>
  <c r="T215" i="4"/>
  <c r="CF197" i="2"/>
  <c r="CL197" i="2" s="1"/>
  <c r="T213" i="4"/>
  <c r="CS43" i="2"/>
  <c r="CW43" i="2" s="1"/>
  <c r="AB212" i="4"/>
  <c r="AB211" i="4"/>
  <c r="CF143" i="2"/>
  <c r="CL143" i="2" s="1"/>
  <c r="T210" i="4"/>
  <c r="CS147" i="2"/>
  <c r="CW147" i="2" s="1"/>
  <c r="BX147" i="2"/>
  <c r="CC147" i="2" s="1"/>
  <c r="CF48" i="2"/>
  <c r="CL48" i="2" s="1"/>
  <c r="T209" i="4"/>
  <c r="CG114" i="2"/>
  <c r="CL114" i="2" s="1"/>
  <c r="CW29" i="2" l="1"/>
  <c r="CS87" i="2"/>
  <c r="CW87" i="2" s="1"/>
  <c r="AB207" i="4"/>
  <c r="CF87" i="2"/>
  <c r="CE87" i="2"/>
  <c r="T207" i="4"/>
  <c r="CX86" i="2"/>
  <c r="CS86" i="2"/>
  <c r="CW86" i="2" s="1"/>
  <c r="AG206" i="4"/>
  <c r="AB206" i="4"/>
  <c r="CF86" i="2"/>
  <c r="CL86" i="2" s="1"/>
  <c r="BX86" i="2"/>
  <c r="CC86" i="2" s="1"/>
  <c r="T205" i="4"/>
  <c r="M205" i="4"/>
  <c r="CV47" i="2"/>
  <c r="CS47" i="2"/>
  <c r="CW47" i="2" s="1"/>
  <c r="CG47" i="2"/>
  <c r="CL47" i="2" s="1"/>
  <c r="CA47" i="2"/>
  <c r="BY47" i="2"/>
  <c r="CC47" i="2" s="1"/>
  <c r="CF5" i="2"/>
  <c r="CL5" i="2" s="1"/>
  <c r="CS201" i="2"/>
  <c r="CW201" i="2" s="1"/>
  <c r="AB203" i="4"/>
  <c r="AB202" i="4"/>
  <c r="CL87" i="2" l="1"/>
  <c r="CS97" i="2"/>
  <c r="CW97" i="2" s="1"/>
  <c r="AB201" i="4"/>
  <c r="AB200" i="4"/>
  <c r="AB199" i="4"/>
  <c r="AB198" i="4"/>
  <c r="AB197" i="4"/>
  <c r="CF97" i="2"/>
  <c r="BX97" i="2"/>
  <c r="CC97" i="2" s="1"/>
  <c r="M195" i="4"/>
  <c r="T195" i="4"/>
  <c r="T194" i="4"/>
  <c r="CE97" i="2"/>
  <c r="CS157" i="2"/>
  <c r="AB192" i="4"/>
  <c r="BX157" i="2"/>
  <c r="CC157" i="2" s="1"/>
  <c r="CF157" i="2"/>
  <c r="CL157" i="2" s="1"/>
  <c r="T191" i="4"/>
  <c r="M191" i="4"/>
  <c r="CT157" i="2"/>
  <c r="AB190" i="4"/>
  <c r="AD189" i="4"/>
  <c r="T188" i="4"/>
  <c r="BR157" i="2"/>
  <c r="H187" i="4"/>
  <c r="CS46" i="2"/>
  <c r="CW46" i="2" s="1"/>
  <c r="BY46" i="2"/>
  <c r="BX46" i="2"/>
  <c r="CC46" i="2" s="1"/>
  <c r="CS200" i="2"/>
  <c r="CW200" i="2" s="1"/>
  <c r="CF200" i="2"/>
  <c r="CL200" i="2" s="1"/>
  <c r="BX200" i="2"/>
  <c r="CC200" i="2" s="1"/>
  <c r="BR200" i="2"/>
  <c r="CS205" i="2"/>
  <c r="CW205" i="2" s="1"/>
  <c r="AB186" i="4"/>
  <c r="CS89" i="2"/>
  <c r="CW89" i="2" s="1"/>
  <c r="AA89" i="2"/>
  <c r="AB185" i="4"/>
  <c r="CW157" i="2" l="1"/>
  <c r="CL97" i="2"/>
  <c r="CS208" i="2"/>
  <c r="CW208" i="2" s="1"/>
  <c r="CF208" i="2"/>
  <c r="CL208" i="2" s="1"/>
  <c r="BX208" i="2"/>
  <c r="CC208" i="2" s="1"/>
  <c r="CS68" i="2"/>
  <c r="CW68" i="2" s="1"/>
  <c r="CF68" i="2"/>
  <c r="CL68" i="2" s="1"/>
  <c r="BX68" i="2"/>
  <c r="CC68" i="2" s="1"/>
  <c r="CJ82" i="2"/>
  <c r="CL82" i="2" s="1"/>
  <c r="CS82" i="2"/>
  <c r="CW82" i="2" s="1"/>
  <c r="CG170" i="2"/>
  <c r="CL170" i="2" s="1"/>
  <c r="CS170" i="2"/>
  <c r="CW170" i="2" s="1"/>
  <c r="CS80" i="2"/>
  <c r="CW80" i="2" s="1"/>
  <c r="CJ80" i="2"/>
  <c r="CL80" i="2" s="1"/>
  <c r="CS79" i="2" l="1"/>
  <c r="CW79" i="2" s="1"/>
  <c r="CJ79" i="2"/>
  <c r="CL79" i="2" s="1"/>
  <c r="CS57" i="2"/>
  <c r="CW57" i="2" s="1"/>
  <c r="CJ57" i="2"/>
  <c r="CL57" i="2" s="1"/>
  <c r="CS195" i="2"/>
  <c r="CW195" i="2" s="1"/>
  <c r="CF195" i="2"/>
  <c r="CL195" i="2" s="1"/>
  <c r="CS4" i="2"/>
  <c r="CW4" i="2" s="1"/>
  <c r="AP4" i="2"/>
  <c r="Y4" i="2"/>
  <c r="CS81" i="2"/>
  <c r="CW81" i="2" s="1"/>
  <c r="AB183" i="4"/>
  <c r="AB184" i="4"/>
  <c r="CS42" i="2"/>
  <c r="CW42" i="2" s="1"/>
  <c r="CS83" i="2"/>
  <c r="CW83" i="2" s="1"/>
  <c r="Y83" i="2"/>
  <c r="CS175" i="2" l="1"/>
  <c r="CW175" i="2" s="1"/>
  <c r="CG175" i="2"/>
  <c r="CF175" i="2"/>
  <c r="CL175" i="2" s="1"/>
  <c r="BY175" i="2"/>
  <c r="BX175" i="2"/>
  <c r="BX44" i="2"/>
  <c r="CC44" i="2" s="1"/>
  <c r="M182" i="4"/>
  <c r="CS44" i="2"/>
  <c r="CW44" i="2" s="1"/>
  <c r="CS19" i="2"/>
  <c r="CW19" i="2" s="1"/>
  <c r="CF19" i="2"/>
  <c r="CL19" i="2" s="1"/>
  <c r="BR19" i="2"/>
  <c r="H181" i="4"/>
  <c r="CS98" i="2"/>
  <c r="CW98" i="2" s="1"/>
  <c r="CF98" i="2"/>
  <c r="CL98" i="2" s="1"/>
  <c r="BR98" i="2"/>
  <c r="H180" i="4"/>
  <c r="U179" i="4"/>
  <c r="CG90" i="2"/>
  <c r="CL90" i="2" s="1"/>
  <c r="CS90" i="2"/>
  <c r="CW90" i="2" s="1"/>
  <c r="AB178" i="4"/>
  <c r="CX90" i="2"/>
  <c r="BR90" i="2"/>
  <c r="CS153" i="2"/>
  <c r="CW153" i="2" s="1"/>
  <c r="CF153" i="2"/>
  <c r="CL153" i="2" s="1"/>
  <c r="BR153" i="2"/>
  <c r="CC175" i="2" l="1"/>
  <c r="BX96" i="2"/>
  <c r="CC96" i="2" s="1"/>
  <c r="CS96" i="2"/>
  <c r="CW96" i="2" s="1"/>
  <c r="AB177" i="4"/>
  <c r="CS95" i="2"/>
  <c r="CW95" i="2" s="1"/>
  <c r="CS7" i="2"/>
  <c r="CW7" i="2" s="1"/>
  <c r="AB174" i="4"/>
  <c r="CS6" i="2"/>
  <c r="CW6" i="2" s="1"/>
  <c r="CF6" i="2"/>
  <c r="CL6" i="2" s="1"/>
  <c r="AB173" i="4"/>
  <c r="AB172" i="4"/>
  <c r="T171" i="4"/>
  <c r="CS94" i="2"/>
  <c r="CW94" i="2" s="1"/>
  <c r="AB170" i="4"/>
  <c r="CS182" i="2"/>
  <c r="CW182" i="2" s="1"/>
  <c r="AB168" i="4"/>
  <c r="CS207" i="2" l="1"/>
  <c r="CW207" i="2" s="1"/>
  <c r="CS206" i="2"/>
  <c r="CW206" i="2" s="1"/>
  <c r="AB165" i="4"/>
  <c r="AB163" i="4"/>
  <c r="CS136" i="2"/>
  <c r="CW136" i="2" s="1"/>
  <c r="Y136" i="2"/>
  <c r="AB164" i="4"/>
  <c r="CS54" i="2"/>
  <c r="CW54" i="2" s="1"/>
  <c r="CS58" i="2"/>
  <c r="CW58" i="2" s="1"/>
  <c r="AB162" i="4"/>
  <c r="AB161" i="4"/>
  <c r="CS126" i="2"/>
  <c r="CW126" i="2" s="1"/>
  <c r="CF126" i="2"/>
  <c r="CL126" i="2" s="1"/>
  <c r="BR171" i="2"/>
  <c r="CS171" i="2"/>
  <c r="CW171" i="2" s="1"/>
  <c r="CF171" i="2"/>
  <c r="CL171" i="2" s="1"/>
  <c r="CU21" i="2"/>
  <c r="CS21" i="2"/>
  <c r="CW21" i="2" s="1"/>
  <c r="CJ21" i="2"/>
  <c r="CF21" i="2"/>
  <c r="CL21" i="2" s="1"/>
  <c r="CA21" i="2"/>
  <c r="CC21" i="2" s="1"/>
  <c r="BR21" i="2"/>
  <c r="T159" i="4" l="1"/>
  <c r="M159" i="4"/>
  <c r="CS172" i="2"/>
  <c r="CW172" i="2" s="1"/>
  <c r="BR172" i="2"/>
  <c r="CF172" i="2"/>
  <c r="CL172" i="2" s="1"/>
  <c r="CF124" i="2"/>
  <c r="CL124" i="2" s="1"/>
  <c r="BX124" i="2"/>
  <c r="CC124" i="2" s="1"/>
  <c r="CS124" i="2"/>
  <c r="CW124" i="2" s="1"/>
  <c r="AB159" i="4"/>
  <c r="CS92" i="2"/>
  <c r="CW92" i="2" s="1"/>
  <c r="BR92" i="2"/>
  <c r="CG88" i="2"/>
  <c r="CL88" i="2" s="1"/>
  <c r="CV88" i="2"/>
  <c r="CS88" i="2"/>
  <c r="CW88" i="2" s="1"/>
  <c r="CS69" i="2"/>
  <c r="CW69" i="2" s="1"/>
  <c r="AB157" i="4"/>
  <c r="AB156" i="4"/>
  <c r="CS137" i="2"/>
  <c r="CW137" i="2" s="1"/>
  <c r="CS138" i="2"/>
  <c r="CW138" i="2" s="1"/>
  <c r="AB155" i="4"/>
  <c r="BR133" i="2"/>
  <c r="CG70" i="2"/>
  <c r="CF70" i="2"/>
  <c r="CL70" i="2" s="1"/>
  <c r="U152" i="4"/>
  <c r="T152" i="4"/>
  <c r="CX70" i="2"/>
  <c r="CS70" i="2"/>
  <c r="CW70" i="2" s="1"/>
  <c r="AG151" i="4"/>
  <c r="AB151" i="4"/>
  <c r="AB150" i="4"/>
  <c r="U149" i="4"/>
  <c r="AB106" i="4" l="1"/>
  <c r="AB147" i="4"/>
  <c r="CS22" i="2"/>
  <c r="CW22" i="2" s="1"/>
  <c r="CG22" i="2"/>
  <c r="CL22" i="2" s="1"/>
  <c r="CJ22" i="2"/>
  <c r="AB144" i="4"/>
  <c r="BM19" i="3"/>
  <c r="CS76" i="2"/>
  <c r="CW76" i="2" s="1"/>
  <c r="AB142" i="4"/>
  <c r="CS93" i="2"/>
  <c r="CW93" i="2" s="1"/>
  <c r="CS39" i="2"/>
  <c r="CW39" i="2" s="1"/>
  <c r="AB141" i="4"/>
  <c r="AD130" i="2"/>
  <c r="CS45" i="2"/>
  <c r="CW45" i="2" s="1"/>
  <c r="AB139" i="4"/>
  <c r="BX45" i="2"/>
  <c r="CC45" i="2" s="1"/>
  <c r="CS85" i="2"/>
  <c r="CW85" i="2" s="1"/>
  <c r="BX85" i="2"/>
  <c r="CC85" i="2" s="1"/>
  <c r="CS38" i="2"/>
  <c r="CW38" i="2" s="1"/>
  <c r="AB138" i="4"/>
  <c r="BR38" i="2"/>
  <c r="H137" i="4"/>
  <c r="BR56" i="2" l="1"/>
  <c r="CU56" i="2"/>
  <c r="CW56" i="2" s="1"/>
  <c r="AB134" i="4"/>
  <c r="AB132" i="4"/>
  <c r="AB130" i="4"/>
  <c r="AB129" i="4"/>
  <c r="AG126" i="4"/>
  <c r="AB126" i="4"/>
  <c r="AG118" i="4"/>
  <c r="T122" i="4"/>
  <c r="AG121" i="4"/>
  <c r="AB121" i="4"/>
  <c r="AB120" i="4"/>
  <c r="AB119" i="4"/>
  <c r="AB118" i="4"/>
  <c r="AB116" i="4"/>
  <c r="AB115" i="4"/>
  <c r="CS71" i="2"/>
  <c r="CW71" i="2" s="1"/>
  <c r="BY71" i="2"/>
  <c r="CC71" i="2" s="1"/>
  <c r="AP198" i="2"/>
  <c r="AD198" i="2"/>
  <c r="AA198" i="2"/>
  <c r="CG148" i="2"/>
  <c r="CF148" i="2"/>
  <c r="CL148" i="2" s="1"/>
  <c r="CA148" i="2"/>
  <c r="CC148" i="2" s="1"/>
  <c r="CV148" i="2"/>
  <c r="CS148" i="2"/>
  <c r="AE113" i="4"/>
  <c r="AB113" i="4"/>
  <c r="U113" i="4"/>
  <c r="T113" i="4"/>
  <c r="O113" i="4"/>
  <c r="H112" i="4"/>
  <c r="BR148" i="2"/>
  <c r="AB111" i="4"/>
  <c r="BR225" i="2"/>
  <c r="BR135" i="2"/>
  <c r="CA134" i="2"/>
  <c r="CB134" i="2"/>
  <c r="AB109" i="4"/>
  <c r="AB108" i="4"/>
  <c r="AB107" i="4"/>
  <c r="AB104" i="4"/>
  <c r="CW148" i="2" l="1"/>
  <c r="CC134" i="2"/>
  <c r="CS230" i="2"/>
  <c r="CW230" i="2" s="1"/>
  <c r="CS183" i="2"/>
  <c r="CW183" i="2" s="1"/>
  <c r="CS139" i="2"/>
  <c r="CW139" i="2" s="1"/>
  <c r="BM18" i="3"/>
  <c r="CS140" i="2"/>
  <c r="CW140" i="2" s="1"/>
  <c r="CS192" i="2" l="1"/>
  <c r="CW192" i="2" s="1"/>
  <c r="CS18" i="2"/>
  <c r="CW18" i="2" s="1"/>
  <c r="CS60" i="2"/>
  <c r="CW60" i="2" s="1"/>
  <c r="BR60" i="2"/>
  <c r="CS59" i="2"/>
  <c r="CW59" i="2" s="1"/>
  <c r="BR59" i="2"/>
  <c r="BM17" i="3" l="1"/>
  <c r="AV12" i="3"/>
  <c r="CS181" i="2"/>
  <c r="CW181" i="2" s="1"/>
  <c r="CS36" i="2"/>
  <c r="CW36" i="2" s="1"/>
  <c r="AB102" i="4"/>
  <c r="CS202" i="2"/>
  <c r="CW202" i="2" s="1"/>
  <c r="AB101" i="4"/>
  <c r="AB100" i="4"/>
  <c r="CS72" i="2"/>
  <c r="CW72" i="2" s="1"/>
  <c r="AB99" i="4"/>
  <c r="CS212" i="2"/>
  <c r="CW212" i="2" s="1"/>
  <c r="CS67" i="2"/>
  <c r="CW67" i="2" s="1"/>
  <c r="BX67" i="2"/>
  <c r="CC67" i="2" s="1"/>
  <c r="CS66" i="2"/>
  <c r="CW66" i="2" s="1"/>
  <c r="BX66" i="2"/>
  <c r="CC66" i="2" s="1"/>
  <c r="CS14" i="2" l="1"/>
  <c r="CW14" i="2" s="1"/>
  <c r="BX14" i="2"/>
  <c r="CC14" i="2" s="1"/>
  <c r="CS219" i="2"/>
  <c r="CW219" i="2" s="1"/>
  <c r="AB98" i="4"/>
  <c r="AB94" i="4"/>
  <c r="BM16" i="3"/>
  <c r="CV52" i="2" l="1"/>
  <c r="CT52" i="2"/>
  <c r="CS52" i="2"/>
  <c r="CW52" i="2" s="1"/>
  <c r="CF52" i="2"/>
  <c r="CL52" i="2" s="1"/>
  <c r="BX52" i="2"/>
  <c r="CC52" i="2" s="1"/>
  <c r="AB97" i="4"/>
  <c r="BX17" i="2"/>
  <c r="CC17" i="2" s="1"/>
  <c r="CF17" i="2"/>
  <c r="CL17" i="2" s="1"/>
  <c r="CS17" i="2"/>
  <c r="CV17" i="2"/>
  <c r="CS16" i="2"/>
  <c r="CW16" i="2" s="1"/>
  <c r="CF16" i="2"/>
  <c r="CL16" i="2" s="1"/>
  <c r="BX16" i="2"/>
  <c r="CC16" i="2" s="1"/>
  <c r="CS165" i="2"/>
  <c r="CW165" i="2" s="1"/>
  <c r="CF165" i="2"/>
  <c r="CL165" i="2" s="1"/>
  <c r="BX165" i="2"/>
  <c r="CC165" i="2" s="1"/>
  <c r="CS15" i="2"/>
  <c r="CW15" i="2" s="1"/>
  <c r="CS33" i="2"/>
  <c r="CW33" i="2" s="1"/>
  <c r="CF33" i="2"/>
  <c r="CL33" i="2" s="1"/>
  <c r="BX33" i="2"/>
  <c r="CC33" i="2" s="1"/>
  <c r="CS32" i="2"/>
  <c r="CW32" i="2" s="1"/>
  <c r="CF32" i="2"/>
  <c r="CL32" i="2" s="1"/>
  <c r="BX32" i="2"/>
  <c r="CC32" i="2" s="1"/>
  <c r="AE96" i="4"/>
  <c r="AB96" i="4"/>
  <c r="T96" i="4"/>
  <c r="M96" i="4"/>
  <c r="AB95" i="4"/>
  <c r="CS125" i="2"/>
  <c r="CW125" i="2" s="1"/>
  <c r="CV146" i="2"/>
  <c r="CS146" i="2"/>
  <c r="CW146" i="2" s="1"/>
  <c r="CF146" i="2"/>
  <c r="CL146" i="2" s="1"/>
  <c r="BX146" i="2"/>
  <c r="CC146" i="2" s="1"/>
  <c r="CS35" i="2"/>
  <c r="CW35" i="2" s="1"/>
  <c r="CS111" i="2"/>
  <c r="CW111" i="2" s="1"/>
  <c r="AB93" i="4"/>
  <c r="CT111" i="2"/>
  <c r="CG111" i="2"/>
  <c r="CL111" i="2" s="1"/>
  <c r="BY111" i="2"/>
  <c r="CC111" i="2" s="1"/>
  <c r="AD92" i="4"/>
  <c r="CT110" i="2"/>
  <c r="CS110" i="2"/>
  <c r="CW110" i="2" s="1"/>
  <c r="AB92" i="4"/>
  <c r="CG110" i="2"/>
  <c r="CL110" i="2" s="1"/>
  <c r="BY110" i="2"/>
  <c r="CC110" i="2" s="1"/>
  <c r="CT109" i="2"/>
  <c r="CS109" i="2"/>
  <c r="CW109" i="2" s="1"/>
  <c r="CG109" i="2"/>
  <c r="CL109" i="2" s="1"/>
  <c r="BY109" i="2"/>
  <c r="CC109" i="2" s="1"/>
  <c r="AD91" i="4"/>
  <c r="AB91" i="4"/>
  <c r="N90" i="4"/>
  <c r="U90" i="4"/>
  <c r="M84" i="4"/>
  <c r="M81" i="4"/>
  <c r="M87" i="4"/>
  <c r="T87" i="4"/>
  <c r="CF108" i="2"/>
  <c r="CL108" i="2" s="1"/>
  <c r="CG106" i="2"/>
  <c r="CL106" i="2" s="1"/>
  <c r="CG105" i="2"/>
  <c r="CL105" i="2" s="1"/>
  <c r="BX108" i="2"/>
  <c r="CC108" i="2" s="1"/>
  <c r="BX105" i="2"/>
  <c r="CC105" i="2" s="1"/>
  <c r="BY107" i="2"/>
  <c r="BX107" i="2"/>
  <c r="CC107" i="2" s="1"/>
  <c r="BX106" i="2"/>
  <c r="CC106" i="2" s="1"/>
  <c r="CW17" i="2" l="1"/>
  <c r="CS108" i="2"/>
  <c r="CW108" i="2" s="1"/>
  <c r="AB88" i="4"/>
  <c r="AB86" i="4"/>
  <c r="BM15" i="3"/>
  <c r="CS107" i="2"/>
  <c r="CW107" i="2" s="1"/>
  <c r="AB83" i="4"/>
  <c r="CS106" i="2"/>
  <c r="CW106" i="2" s="1"/>
  <c r="CS105" i="2" l="1"/>
  <c r="CW105" i="2" s="1"/>
  <c r="AB80" i="4"/>
  <c r="CF27" i="2" l="1"/>
  <c r="CL27" i="2" s="1"/>
  <c r="BX190" i="2"/>
  <c r="BY190" i="2"/>
  <c r="BX189" i="2"/>
  <c r="BY189" i="2"/>
  <c r="BX188" i="2"/>
  <c r="CC188" i="2" s="1"/>
  <c r="T49" i="4"/>
  <c r="CG163" i="2"/>
  <c r="CF163" i="2"/>
  <c r="CF104" i="2"/>
  <c r="CL104" i="2" s="1"/>
  <c r="BX2" i="2"/>
  <c r="CC2" i="2" s="1"/>
  <c r="BX174" i="2"/>
  <c r="CC174" i="2" s="1"/>
  <c r="BX167" i="2"/>
  <c r="CC167" i="2" s="1"/>
  <c r="CS167" i="2"/>
  <c r="CW167" i="2" s="1"/>
  <c r="BR167" i="2"/>
  <c r="AB14" i="4"/>
  <c r="H14" i="4"/>
  <c r="CF62" i="2"/>
  <c r="CL62" i="2" s="1"/>
  <c r="BX62" i="2"/>
  <c r="CC62" i="2" s="1"/>
  <c r="CS62" i="2"/>
  <c r="CW62" i="2" s="1"/>
  <c r="BR62" i="2"/>
  <c r="T13" i="4"/>
  <c r="M13" i="4"/>
  <c r="AB13" i="4"/>
  <c r="AB12" i="4"/>
  <c r="CS51" i="2"/>
  <c r="CW51" i="2" s="1"/>
  <c r="AB10" i="4"/>
  <c r="BR51" i="2"/>
  <c r="BR149" i="2"/>
  <c r="CS166" i="2"/>
  <c r="CW166" i="2" s="1"/>
  <c r="CC189" i="2" l="1"/>
  <c r="CC190" i="2"/>
  <c r="CL163" i="2"/>
  <c r="BX152" i="2"/>
  <c r="CC152" i="2" s="1"/>
  <c r="CG50" i="2"/>
  <c r="CF50" i="2"/>
  <c r="CF128" i="2"/>
  <c r="CS128" i="2"/>
  <c r="CG128" i="2"/>
  <c r="BX128" i="2"/>
  <c r="CC128" i="2" s="1"/>
  <c r="AB9" i="4"/>
  <c r="U9" i="4"/>
  <c r="T9" i="4"/>
  <c r="M9" i="4"/>
  <c r="T8" i="4"/>
  <c r="BR128" i="2"/>
  <c r="CT128" i="2"/>
  <c r="CW128" i="2" l="1"/>
  <c r="CL128" i="2"/>
  <c r="CL50" i="2"/>
  <c r="BR173" i="2"/>
  <c r="CS173" i="2"/>
  <c r="CW173" i="2" s="1"/>
  <c r="BX173" i="2"/>
  <c r="CC173" i="2" s="1"/>
  <c r="BX50" i="2"/>
  <c r="CC50" i="2" s="1"/>
  <c r="CS50" i="2"/>
  <c r="CW50" i="2" s="1"/>
  <c r="BR50" i="2"/>
  <c r="M8" i="4"/>
  <c r="AB8" i="4"/>
  <c r="H8" i="4"/>
  <c r="CT152" i="2"/>
  <c r="CS152" i="2"/>
  <c r="CF152" i="2"/>
  <c r="CL152" i="2" s="1"/>
  <c r="AD7" i="4"/>
  <c r="AB7" i="4"/>
  <c r="BR152" i="2"/>
  <c r="H6" i="4"/>
  <c r="AB6" i="4"/>
  <c r="AB5" i="4"/>
  <c r="M4" i="4"/>
  <c r="CW152" i="2" l="1"/>
  <c r="CS151" i="2"/>
  <c r="CW151" i="2" s="1"/>
  <c r="BX151" i="2"/>
  <c r="CC151" i="2" s="1"/>
  <c r="AB3" i="4"/>
  <c r="M3" i="4"/>
  <c r="M2" i="4"/>
  <c r="BM13" i="3"/>
  <c r="AB79" i="4"/>
  <c r="BM12" i="3" l="1"/>
  <c r="AB77" i="4"/>
  <c r="AB78" i="4"/>
  <c r="AB76" i="4"/>
  <c r="BM9" i="3"/>
  <c r="CS28" i="2" l="1"/>
  <c r="AB74" i="4"/>
  <c r="BX28" i="2"/>
  <c r="CC28" i="2" s="1"/>
  <c r="CF28" i="2"/>
  <c r="CL28" i="2" s="1"/>
  <c r="CT28" i="2"/>
  <c r="CJ28" i="2"/>
  <c r="W71" i="4"/>
  <c r="M71" i="4"/>
  <c r="AB70" i="4"/>
  <c r="T70" i="4"/>
  <c r="CS37" i="2"/>
  <c r="CW37" i="2" s="1"/>
  <c r="CW28" i="2" l="1"/>
  <c r="CS220" i="2"/>
  <c r="CW220" i="2" s="1"/>
  <c r="CS209" i="2"/>
  <c r="CW209" i="2" s="1"/>
  <c r="AB68" i="4"/>
  <c r="AB67" i="4"/>
  <c r="CF194" i="2"/>
  <c r="CL194" i="2" s="1"/>
  <c r="BX194" i="2"/>
  <c r="CC194" i="2" s="1"/>
  <c r="CS168" i="2"/>
  <c r="CW168" i="2" s="1"/>
  <c r="AB66" i="4"/>
  <c r="CK223" i="2"/>
  <c r="CL223" i="2" s="1"/>
  <c r="CS218" i="2" l="1"/>
  <c r="CW218" i="2" s="1"/>
  <c r="AB65" i="4"/>
  <c r="CS217" i="2"/>
  <c r="CW217" i="2" s="1"/>
  <c r="AB64" i="4"/>
  <c r="CS216" i="2"/>
  <c r="CW216" i="2" s="1"/>
  <c r="AB63" i="4"/>
  <c r="AB62" i="4"/>
  <c r="AB61" i="4"/>
  <c r="CS215" i="2"/>
  <c r="CW215" i="2" s="1"/>
  <c r="CS214" i="2"/>
  <c r="CW214" i="2" s="1"/>
  <c r="CS193" i="2"/>
  <c r="CW193" i="2" s="1"/>
  <c r="CS13" i="2"/>
  <c r="CW13" i="2" s="1"/>
  <c r="BR27" i="2"/>
  <c r="CS27" i="2"/>
  <c r="CW27" i="2" s="1"/>
  <c r="CS49" i="2" l="1"/>
  <c r="CW49" i="2" s="1"/>
  <c r="CS53" i="2"/>
  <c r="CW53" i="2" s="1"/>
  <c r="CS40" i="2"/>
  <c r="CW40" i="2" s="1"/>
  <c r="AB60" i="4"/>
  <c r="CS210" i="2"/>
  <c r="CW210" i="2" s="1"/>
  <c r="CS142" i="2"/>
  <c r="CW142" i="2" s="1"/>
  <c r="CS131" i="2" l="1"/>
  <c r="CW131" i="2" s="1"/>
  <c r="CS112" i="2"/>
  <c r="CW112" i="2" s="1"/>
  <c r="CS122" i="2"/>
  <c r="CW122" i="2" s="1"/>
  <c r="AB56" i="4"/>
  <c r="AE28" i="4"/>
  <c r="AE24" i="4"/>
  <c r="AE25" i="4"/>
  <c r="AB55" i="4"/>
  <c r="CS121" i="2"/>
  <c r="CW121" i="2" s="1"/>
  <c r="CS12" i="2" l="1"/>
  <c r="CW12" i="2" s="1"/>
  <c r="AB54" i="4"/>
  <c r="BX150" i="2"/>
  <c r="CC150" i="2" s="1"/>
  <c r="BR150" i="2"/>
  <c r="CS150" i="2"/>
  <c r="CW150" i="2" s="1"/>
  <c r="CF150" i="2"/>
  <c r="CL150" i="2" s="1"/>
  <c r="BR190" i="2"/>
  <c r="CS190" i="2"/>
  <c r="CW190" i="2" s="1"/>
  <c r="CF190" i="2"/>
  <c r="CL190" i="2" s="1"/>
  <c r="CV189" i="2" l="1"/>
  <c r="CS189" i="2"/>
  <c r="BR189" i="2"/>
  <c r="CV145" i="2"/>
  <c r="CV144" i="2"/>
  <c r="BR188" i="2"/>
  <c r="CW189" i="2" l="1"/>
  <c r="CS164" i="2"/>
  <c r="CW164" i="2" s="1"/>
  <c r="BX164" i="2"/>
  <c r="CC164" i="2" s="1"/>
  <c r="CF164" i="2"/>
  <c r="CL164" i="2" s="1"/>
  <c r="V52" i="4"/>
  <c r="H52" i="4"/>
  <c r="BR164" i="2"/>
  <c r="BR104" i="2"/>
  <c r="CS104" i="2"/>
  <c r="CW104" i="2" s="1"/>
  <c r="BX104" i="2"/>
  <c r="CC104" i="2" s="1"/>
  <c r="BR163" i="2"/>
  <c r="H49" i="4"/>
  <c r="AB49" i="4"/>
  <c r="BX103" i="2"/>
  <c r="CC103" i="2" s="1"/>
  <c r="M48" i="4"/>
  <c r="CS163" i="2"/>
  <c r="CW163" i="2" s="1"/>
  <c r="BX163" i="2"/>
  <c r="CC163" i="2" s="1"/>
  <c r="CS103" i="2"/>
  <c r="CW103" i="2" s="1"/>
  <c r="AB47" i="4"/>
  <c r="BR65" i="2"/>
  <c r="BR174" i="2"/>
  <c r="BR129" i="2"/>
  <c r="M46" i="4"/>
  <c r="BR103" i="2"/>
  <c r="CS102" i="2"/>
  <c r="CW102" i="2" s="1"/>
  <c r="BX102" i="2"/>
  <c r="CC102" i="2" s="1"/>
  <c r="BR102" i="2"/>
  <c r="CS101" i="2"/>
  <c r="CW101" i="2" s="1"/>
  <c r="CF101" i="2"/>
  <c r="CL101" i="2" s="1"/>
  <c r="BX101" i="2"/>
  <c r="CC101" i="2" s="1"/>
  <c r="BX100" i="2"/>
  <c r="CC100" i="2" s="1"/>
  <c r="AB44" i="4" l="1"/>
  <c r="BR101" i="2"/>
  <c r="CS100" i="2"/>
  <c r="CW100" i="2" s="1"/>
  <c r="AB43" i="4"/>
  <c r="BR100" i="2"/>
  <c r="CS2" i="2" l="1"/>
  <c r="CW2" i="2" s="1"/>
  <c r="CS179" i="2"/>
  <c r="CW179" i="2" s="1"/>
  <c r="CF179" i="2"/>
  <c r="CL179" i="2" s="1"/>
  <c r="BX179" i="2"/>
  <c r="CC179" i="2" s="1"/>
  <c r="CS161" i="2" l="1"/>
  <c r="CW161" i="2" s="1"/>
  <c r="CF161" i="2"/>
  <c r="CL161" i="2" s="1"/>
  <c r="BR161" i="2"/>
  <c r="CS160" i="2"/>
  <c r="CW160" i="2" s="1"/>
  <c r="CF160" i="2"/>
  <c r="CL160" i="2" s="1"/>
  <c r="BR160" i="2"/>
  <c r="CT25" i="2" l="1"/>
  <c r="CW25" i="2" s="1"/>
  <c r="CF25" i="2"/>
  <c r="CL25" i="2" s="1"/>
  <c r="CS23" i="2"/>
  <c r="CW23" i="2" s="1"/>
  <c r="CS196" i="2" l="1"/>
  <c r="CW196" i="2" s="1"/>
  <c r="CF196" i="2"/>
  <c r="CL196" i="2" s="1"/>
  <c r="CS120" i="2"/>
  <c r="CW120" i="2" s="1"/>
  <c r="CF120" i="2"/>
  <c r="CL120" i="2" s="1"/>
  <c r="BX120" i="2"/>
  <c r="CC120" i="2" s="1"/>
  <c r="AB39" i="4"/>
  <c r="T38" i="4"/>
  <c r="M38" i="4"/>
  <c r="BX119" i="2"/>
  <c r="CC119" i="2" s="1"/>
  <c r="CS119" i="2"/>
  <c r="CW119" i="2" s="1"/>
  <c r="CF119" i="2"/>
  <c r="CL119" i="2" s="1"/>
  <c r="AB36" i="4" l="1"/>
  <c r="AB35" i="4"/>
  <c r="AB34" i="4"/>
  <c r="M34" i="4"/>
  <c r="CS118" i="2"/>
  <c r="CW118" i="2" s="1"/>
  <c r="BX118" i="2"/>
  <c r="CC118" i="2" s="1"/>
  <c r="CS132" i="2"/>
  <c r="CW132" i="2" s="1"/>
  <c r="CS141" i="2"/>
  <c r="CW141" i="2" s="1"/>
  <c r="CF141" i="2"/>
  <c r="CL141" i="2" s="1"/>
  <c r="CS116" i="2"/>
  <c r="CW116" i="2" s="1"/>
  <c r="CF116" i="2"/>
  <c r="CL116" i="2" s="1"/>
  <c r="CS115" i="2" l="1"/>
  <c r="CW115" i="2" s="1"/>
  <c r="BD6" i="3" l="1"/>
  <c r="CS186" i="2" l="1"/>
  <c r="CW186" i="2" s="1"/>
  <c r="CS75" i="2"/>
  <c r="CW75" i="2" s="1"/>
  <c r="M30" i="4"/>
  <c r="BX169" i="2"/>
  <c r="CC169" i="2" s="1"/>
  <c r="BR169" i="2"/>
  <c r="CS145" i="2" l="1"/>
  <c r="CW145" i="2" s="1"/>
  <c r="AB28" i="4"/>
  <c r="AE27" i="4"/>
  <c r="M26" i="4"/>
  <c r="CF145" i="2"/>
  <c r="CL145" i="2" s="1"/>
  <c r="BR145" i="2"/>
  <c r="CS144" i="2"/>
  <c r="CW144" i="2" s="1"/>
  <c r="CF144" i="2"/>
  <c r="CL144" i="2" s="1"/>
  <c r="M23" i="4"/>
  <c r="BR144" i="2"/>
  <c r="CS199" i="2"/>
  <c r="CW199" i="2" s="1"/>
  <c r="AB21" i="4"/>
  <c r="CL231" i="2" l="1"/>
  <c r="AB20" i="4"/>
  <c r="CS65" i="2"/>
  <c r="CW65" i="2" s="1"/>
  <c r="CS64" i="2" l="1"/>
  <c r="CW64" i="2" s="1"/>
  <c r="BX64" i="2"/>
  <c r="CC64" i="2" s="1"/>
  <c r="CC231" i="2" s="1"/>
  <c r="CS129" i="2" l="1"/>
  <c r="CW129" i="2" s="1"/>
  <c r="CW231" i="2" s="1"/>
  <c r="CY24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tc={5B96D8AF-4DD5-4541-BA38-98FF8453BC0B}</author>
    <author>tc={599DFECC-7064-446D-8257-0E9873789A18}</author>
    <author>tc={68E427FA-1F7D-4B83-9790-E33CC68D26ED}</author>
    <author>tc={2E977B87-4898-418F-90E0-C1C1044765CA}</author>
    <author>tc={D4D355F1-B7F5-48F6-8E70-40234E440E60}</author>
    <author>tc={44558DCE-1B60-436D-94D1-81692A2EDA7A}</author>
    <author>tc={FE35424E-D60F-40D6-BC48-507E989A8F58}</author>
    <author>tc={B3F60372-7BFF-4CA1-8F1D-80508FDABC61}</author>
    <author>tc={C07C1281-2348-4A5F-ABED-7B6CCC4AC988}</author>
    <author>tc={28A482E0-701B-4CBE-80E0-7CB7827C9DF8}</author>
    <author>tc={B99B5946-8E36-47F6-A7B4-6B7B4A0F639A}</author>
    <author>tc={D47091D5-5DA7-4040-B3DE-F0B0EF334776}</author>
    <author>tc={CF196238-9F04-4A9A-BB1B-0D131D9EBCA2}</author>
    <author>tc={3EEC9CD0-6FCE-4B8D-9DD7-595B01A81398}</author>
    <author>tc={34636924-DABB-48D0-BEC8-3156A1F95766}</author>
    <author>tc={17490E0C-016D-488E-90DC-70BE09B9DBAA}</author>
    <author>tc={FAA28524-89E8-4F9D-8721-80A99D26CC85}</author>
    <author>tc={86849EA9-A958-4B24-AC31-23FF96DAEC69}</author>
    <author>tc={643CFC6D-E1CB-4169-9D9C-2D93AB5C9D91}</author>
    <author>tc={4AFA6A5F-FAE0-4397-8060-307C931506A4}</author>
    <author>tc={7C3B1E97-75EB-4BD3-AF91-5E4678056A4A}</author>
    <author>tc={1D3D3C16-8B19-44CF-9C86-C6D13B70E794}</author>
    <author>tc={11E831B6-07D6-444A-A328-024C3D06B42D}</author>
    <author>tc={A4C4F645-2FD2-4025-A26A-D11C355A5AEC}</author>
    <author>tc={4A4DE2DF-17AB-497F-A2F0-FCE6988E795D}</author>
    <author>tc={5CB22E64-4FEA-487F-B74E-81F6DA93949D}</author>
    <author>tc={A0B46791-D13F-4B9C-A539-FE5484E4EF6F}</author>
    <author>tc={508F95C6-3C91-45AA-A385-99F26D29B1E0}</author>
    <author>tc={BC9828BC-A3BF-41FC-A764-2FC65B726580}</author>
    <author>tc={9D496122-332F-4D66-8884-7914EC2EA742}</author>
    <author>tc={C82F9271-83F7-405B-B448-77E156F156D3}</author>
    <author>tc={F6EF80FB-AB1A-43E8-891B-21775D310294}</author>
    <author>tc={151EA9AE-1481-458F-BE8A-21127791AFC6}</author>
    <author>tc={C3DB1639-159A-477D-967C-C38A6E5F72AD}</author>
    <author>tc={6F3F8F7E-3945-4692-A297-92EF5AD4CA63}</author>
    <author>tc={32B5E920-34F9-4479-B759-FCCE69EC464B}</author>
    <author>tc={860BDF0B-598C-4304-A880-5AA21F94B7D0}</author>
    <author>tc={37C5782C-726B-455D-995A-E4A6BCFADAA3}</author>
  </authors>
  <commentList>
    <comment ref="D6" authorId="0" shapeId="0" xr:uid="{5B96D8AF-4DD5-4541-BA38-98FF8453BC0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Martini</t>
      </text>
    </comment>
    <comment ref="D13" authorId="1" shapeId="0" xr:uid="{599DFECC-7064-446D-8257-0E9873789A1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Alias pour Del</t>
      </text>
    </comment>
    <comment ref="C16" authorId="2" shapeId="0" xr:uid="{68E427FA-1F7D-4B83-9790-E33CC68D26E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Claudia</t>
      </text>
    </comment>
    <comment ref="C50" authorId="3" shapeId="0" xr:uid="{2E977B87-4898-418F-90E0-C1C1044765C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 répertoire écrit Dominicus</t>
      </text>
    </comment>
    <comment ref="C58" authorId="4" shapeId="0" xr:uid="{D4D355F1-B7F5-48F6-8E70-40234E440E6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Joanna</t>
      </text>
    </comment>
    <comment ref="C59" authorId="5" shapeId="0" xr:uid="{44558DCE-1B60-436D-94D1-81692A2EDA7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Maria</t>
      </text>
    </comment>
    <comment ref="C69" authorId="6" shapeId="0" xr:uid="{FE35424E-D60F-40D6-BC48-507E989A8F5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dit Johannes</t>
      </text>
    </comment>
    <comment ref="D71" authorId="7" shapeId="0" xr:uid="{B3F60372-7BFF-4CA1-8F1D-80508FDABC6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Chalvenes</t>
      </text>
    </comment>
    <comment ref="D81" authorId="8" shapeId="0" xr:uid="{C07C1281-2348-4A5F-ABED-7B6CCC4AC98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Baray</t>
      </text>
    </comment>
    <comment ref="C84" authorId="9" shapeId="0" xr:uid="{28A482E0-701B-4CBE-80E0-7CB7827C9DF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Benedictus</t>
      </text>
    </comment>
    <comment ref="D84" authorId="10" shapeId="0" xr:uid="{B99B5946-8E36-47F6-A7B4-6B7B4A0F639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Sochonis</t>
      </text>
    </comment>
    <comment ref="B92" authorId="11" shapeId="0" xr:uid="{D47091D5-5DA7-4040-B3DE-F0B0EF3347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128</t>
      </text>
    </comment>
    <comment ref="B108" authorId="12" shapeId="0" xr:uid="{CF196238-9F04-4A9A-BB1B-0D131D9EBCA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09" authorId="13" shapeId="0" xr:uid="{3EEC9CD0-6FCE-4B8D-9DD7-595B01A8139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10" authorId="14" shapeId="0" xr:uid="{34636924-DABB-48D0-BEC8-3156A1F9576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11" authorId="15" shapeId="0" xr:uid="{17490E0C-016D-488E-90DC-70BE09B9DBA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B112" authorId="16" shapeId="0" xr:uid="{FAA28524-89E8-4F9D-8721-80A99D26CC8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118</t>
      </text>
    </comment>
    <comment ref="D112" authorId="17" shapeId="0" xr:uid="{86849EA9-A958-4B24-AC31-23FF96DAEC6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Cemcholis</t>
      </text>
    </comment>
    <comment ref="B114" authorId="18" shapeId="0" xr:uid="{643CFC6D-E1CB-4169-9D9C-2D93AB5C9D9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Seconde cote</t>
      </text>
    </comment>
    <comment ref="C115" authorId="19" shapeId="0" xr:uid="{4AFA6A5F-FAE0-4397-8060-307C931506A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dit Michaelis</t>
      </text>
    </comment>
    <comment ref="C118" authorId="20" shapeId="0" xr:uid="{7C3B1E97-75EB-4BD3-AF91-5E4678056A4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Aymarii</t>
      </text>
    </comment>
    <comment ref="D118" authorId="21" shapeId="0" xr:uid="{1D3D3C16-8B19-44CF-9C86-C6D13B70E79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De Chelari</t>
      </text>
    </comment>
    <comment ref="C126" authorId="22" shapeId="0" xr:uid="{11E831B6-07D6-444A-A328-024C3D06B42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Guillermi</t>
      </text>
    </comment>
    <comment ref="D127" authorId="23" shapeId="0" xr:uid="{A4C4F645-2FD2-4025-A26A-D11C355A5AE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De Chapote</t>
      </text>
    </comment>
    <comment ref="B135" authorId="24" shapeId="0" xr:uid="{4A4DE2DF-17AB-497F-A2F0-FCE6988E795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+ 375</t>
      </text>
    </comment>
    <comment ref="C148" authorId="25" shapeId="0" xr:uid="{5CB22E64-4FEA-487F-B74E-81F6DA93949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 répertoire lit Bertonus</t>
      </text>
    </comment>
    <comment ref="D163" authorId="26" shapeId="0" xr:uid="{A0B46791-D13F-4B9C-A539-FE5484E4EF6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Guigonis</t>
      </text>
    </comment>
    <comment ref="C179" authorId="27" shapeId="0" xr:uid="{508F95C6-3C91-45AA-A385-99F26D29B1E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Petrus</t>
      </text>
    </comment>
    <comment ref="D181" authorId="28" shapeId="0" xr:uid="{BC9828BC-A3BF-41FC-A764-2FC65B72658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Brunenchi</t>
      </text>
    </comment>
    <comment ref="C182" authorId="29" shapeId="0" xr:uid="{9D496122-332F-4D66-8884-7914EC2EA74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Anteronis</t>
      </text>
    </comment>
    <comment ref="D207" authorId="30" shapeId="0" xr:uid="{C82F9271-83F7-405B-B448-77E156F156D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écrit Montiront</t>
      </text>
    </comment>
    <comment ref="C211" authorId="31" shapeId="0" xr:uid="{F6EF80FB-AB1A-43E8-891B-21775D31029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Antonius</t>
      </text>
    </comment>
    <comment ref="D212" authorId="32" shapeId="0" xr:uid="{151EA9AE-1481-458F-BE8A-21127791AFC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Pin</t>
      </text>
    </comment>
    <comment ref="C220" authorId="33" shapeId="0" xr:uid="{C3DB1639-159A-477D-967C-C38A6E5F72A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Guillermus</t>
      </text>
    </comment>
    <comment ref="D220" authorId="34" shapeId="0" xr:uid="{6F3F8F7E-3945-4692-A297-92EF5AD4CA6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Thome</t>
      </text>
    </comment>
    <comment ref="C221" authorId="35" shapeId="0" xr:uid="{32B5E920-34F9-4479-B759-FCCE69EC464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Marieta</t>
      </text>
    </comment>
    <comment ref="C224" authorId="36" shapeId="0" xr:uid="{860BDF0B-598C-4304-A880-5AA21F94B7D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Inventaire lit Barmeus</t>
      </text>
    </comment>
    <comment ref="D225" authorId="37" shapeId="0" xr:uid="{37C5782C-726B-455D-995A-E4A6BCFADAA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Répertoire lit De Fuger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tc={2C60F115-1CA7-49E8-9F1D-C9B0C91A6210}</author>
    <author>tc={C7E67093-DD50-4068-B547-20ED109B30EC}</author>
    <author>tc={726A05B1-B8AA-4254-B8A6-61AC0E6DD0E5}</author>
    <author>tc={B48CA447-F1D1-4521-BAAF-48553F0868EF}</author>
    <author>tc={F57BD288-D415-4781-A089-B9E083AAAFE5}</author>
    <author>tc={81C762A9-7C10-4F62-AC15-F65787274237}</author>
    <author>tc={47609D5D-C5FB-4B0D-B595-A18C74F6EA93}</author>
    <author>tc={A715A2BC-BC89-4B8C-91BD-2B339F0CC75E}</author>
    <author>tc={6F322A48-5053-4BC1-9BF6-3EFCF1FD7D37}</author>
    <author>tc={609560BD-2552-4698-B1E1-0093C6017BE1}</author>
    <author>tc={E00956B4-400A-4D6F-A81D-FA19A1E39D00}</author>
    <author>tc={9E753F59-2961-4D00-952C-44B9DD3E6378}</author>
    <author>tc={340B1393-1E5E-4F77-9E59-223DA02EE0F2}</author>
    <author>tc={8A9AB523-6642-4FDB-9C17-00799E2255DA}</author>
    <author>tc={62074FDA-AA55-45B6-A6DE-5D86CE001E5E}</author>
    <author>tc={FB5D157C-F5C0-4079-8703-D19DA20D1EF4}</author>
    <author>tc={DF549767-5CCB-42DF-8B68-CC78C912C3C8}</author>
    <author>tc={882AFD2D-DB87-4319-80E9-C65DDC6B649A}</author>
    <author>tc={7722EFE3-8AA8-45D1-85D3-9A8E7DA44903}</author>
    <author>tc={3D76D6BE-1F1A-4674-88B3-3D1E09E9414D}</author>
    <author>tc={0ABB8C5C-2E06-483E-89F4-3102A3116492}</author>
    <author>tc={3C14805D-E0AA-4B2A-AFD7-EE3CA15A9909}</author>
    <author>tc={6699547D-A29A-44FA-B4FD-AFCF0697CCAE}</author>
    <author>tc={B30D27BD-1388-4822-AF24-283798566BB7}</author>
    <author>tc={F20F14AD-FC62-4606-82B7-D89DC0BEA20B}</author>
    <author>tc={B9FE2CA8-CDD5-4549-8FF1-1B4AB58CD9C3}</author>
    <author>tc={6862D8D7-6D21-4895-85BE-C8CC66D84F58}</author>
    <author>tc={D34FEA2A-A3B2-45BC-A4AE-6AE9F1D7A5DF}</author>
    <author>tc={70F2589B-10E3-4E7C-8643-568A3512860E}</author>
    <author>tc={A4617C3F-5C4F-4E23-8F4C-C03DF574B520}</author>
    <author>tc={8420F29A-220C-49D5-8A47-1C81947415CD}</author>
    <author>tc={15E76775-5ECC-4938-8872-18257ECF465E}</author>
    <author>tc={D7579E68-55B6-4DEA-AF8B-A4687DC8A509}</author>
    <author>tc={87724888-C7BA-4566-8BCD-4263D069A1A4}</author>
    <author>tc={34EE74F7-C5BE-417A-8877-61FECBC86872}</author>
    <author>tc={303CD206-226F-46FA-8DE9-EFCA34008A0C}</author>
    <author>tc={FF9E6637-98AA-4DA0-A795-B7D14058AB69}</author>
    <author>tc={334BD14B-1BF2-4F38-ADAF-3879FFD748BC}</author>
    <author>tc={61B37404-D426-43CF-A67A-8D0E501901E5}</author>
    <author>tc={7777F5AB-94E0-4982-B8E6-734577FA9981}</author>
    <author>tc={6945B864-5591-4A42-AA6C-67A608646E4A}</author>
    <author>tc={015251D9-6367-42C2-BCBD-E766580EEC68}</author>
    <author>tc={F349D165-8D62-470C-8031-DAC9F17B7DD7}</author>
    <author>tc={BD948BEB-B812-4C9B-A3F5-8E483DA586F3}</author>
    <author>tc={C97E3B20-29A7-44E7-9563-896C8F9B2C23}</author>
    <author>tc={28699DE9-599E-43BC-A35D-2EA69A445E6B}</author>
    <author>tc={5D8A6B34-15D8-46AC-B308-9025D76B47BD}</author>
    <author>tc={C86DDAA1-30FA-4E8C-8EFE-99929FE7EC34}</author>
    <author>tc={1E92B553-C295-47F7-861B-F20A602993F5}</author>
    <author>tc={2D1CB5D7-D920-40F0-9428-AE6BE790CCA1}</author>
    <author>tc={63B7BB15-6BA5-4307-AD7C-7F41E108FE0E}</author>
    <author>tc={3D26DDDA-A145-4D18-AE55-3ECAD31A49E4}</author>
    <author>tc={3405BCCF-F52C-4126-BAA4-527468E952F7}</author>
    <author>tc={2882F9C4-A5F7-44C0-A38A-C88A40589076}</author>
    <author>tc={F93650A5-C018-44EE-AB3F-A8936C55B497}</author>
    <author>tc={1617D872-95C0-4825-8149-094AFC319F91}</author>
    <author>tc={A2BE641F-A9E3-478A-81FD-CC109142E120}</author>
    <author>tc={8940013F-3B37-4EDB-9F44-0FF584AD4573}</author>
    <author>tc={6180CD88-2161-4DF8-B253-C2E56264262F}</author>
    <author>tc={88CD99EB-4323-4649-A931-7386C4D7CA36}</author>
    <author>tc={3E3E217E-EA8C-439D-9F1D-1FC263EC5040}</author>
    <author>tc={5A679A72-28C5-4F0A-8E25-3BF52D2CD9AC}</author>
    <author>tc={DA4004C7-33E4-4F12-AEDD-6A1539F82833}</author>
    <author>tc={48B15459-0F51-4E81-9467-D29057392D17}</author>
    <author>tc={6617AD20-F59F-4877-9E10-38C4B80F55B6}</author>
    <author>tc={F13F30AE-63D6-47EF-B437-9CA7D4E3EFC4}</author>
    <author>tc={61CCCD9B-75E7-49A4-AAF5-07A3A0C5F7E8}</author>
    <author>tc={4BE09BA6-A1AF-44BF-8016-192A28B0B34F}</author>
    <author>tc={54647F6A-932E-4B4B-9AF0-056ED1BFB771}</author>
    <author>tc={03E9D661-1C22-444A-B0C8-FC5DC9E15636}</author>
    <author>tc={F0E0EA7A-CB68-40D7-805F-951A78E14F52}</author>
    <author>tc={8C820329-BB72-4B53-BB0D-2F3F4B757994}</author>
    <author>tc={E2B77381-3E7E-4A3D-96F8-EDE095233DAF}</author>
    <author>tc={C3536127-D30F-47D9-9793-F950217E2F72}</author>
    <author>tc={72EF8B83-3C85-44FD-85F2-FD4C1CBA8168}</author>
    <author>tc={441CB76E-6E78-4F43-87DF-79552FD43BDE}</author>
    <author>tc={E7B3CAE1-C32C-4D39-9D42-DE707574EBB5}</author>
    <author>tc={7945B45C-1151-40E2-93D4-19393412EB76}</author>
    <author>tc={72171436-69F9-4519-923A-644C6DAAA4A8}</author>
    <author>tc={558CC3CC-BF57-4DD3-8408-20CE618A7238}</author>
    <author>tc={564686C4-2A6E-439E-A422-A9740A165B7E}</author>
    <author>tc={C9065431-33F7-47CE-BEEF-A2227419070B}</author>
    <author>tc={D22B6B61-4021-4F33-B5BA-1ECC3B9F97D2}</author>
    <author>tc={435CBA50-8266-42CA-9A1D-4E298AC6E3B9}</author>
    <author>tc={40ADA327-DE5B-463F-9B1F-9BA6A18638F3}</author>
    <author>tc={01C89E39-7E43-4881-83EE-EAE30A9B12A7}</author>
    <author>tc={1182E939-2FC5-42CF-8091-37827EA97104}</author>
    <author>tc={9C2AB42A-8B1D-4148-9165-66772E319129}</author>
    <author>tc={4BECF6EF-24DE-4041-B4C7-BAD4FFFD1310}</author>
    <author>tc={61A023B6-A657-434E-A140-6BAD27CBE5C1}</author>
  </authors>
  <commentList>
    <comment ref="A1" authorId="0" shapeId="0" xr:uid="{2C60F115-1CA7-49E8-9F1D-C9B0C91A621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Page du pdf + numéro déclarant dans page</t>
      </text>
    </comment>
    <comment ref="AH1" authorId="1" shapeId="0" xr:uid="{C7E67093-DD50-4068-B547-20ED109B30E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Lieu interdit pour le pâturage</t>
      </text>
    </comment>
    <comment ref="AI1" authorId="2" shapeId="0" xr:uid="{726A05B1-B8AA-4254-B8A6-61AC0E6DD0E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inculte</t>
      </text>
    </comment>
    <comment ref="AJ1" authorId="3" shapeId="0" xr:uid="{B48CA447-F1D1-4521-BAAF-48553F0868E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Revenu, sens</t>
      </text>
    </comment>
    <comment ref="AL1" authorId="4" shapeId="0" xr:uid="{F57BD288-D415-4781-A089-B9E083AAAFE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cultivable</t>
      </text>
    </comment>
    <comment ref="AM1" authorId="5" shapeId="0" xr:uid="{81C762A9-7C10-4F62-AC15-F6578727423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nouvelle</t>
      </text>
    </comment>
    <comment ref="AN1" authorId="6" shapeId="0" xr:uid="{47609D5D-C5FB-4B0D-B595-A18C74F6EA9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de pâturage</t>
      </text>
    </comment>
    <comment ref="AQ1" authorId="7" shapeId="0" xr:uid="{00000000-0006-0000-01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Ecluse, retenue d'eau (Blaise Médiéval)</t>
      </text>
    </comment>
    <comment ref="AS1" authorId="8" shapeId="0" xr:uid="{6F322A48-5053-4BC1-9BF6-3EFCF1FD7D3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Côte, coteau</t>
      </text>
    </comment>
    <comment ref="AT1" authorId="9" shapeId="0" xr:uid="{609560BD-2552-4698-B1E1-0093C6017BE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Marécage de joncs. Du Cange</t>
      </text>
    </comment>
    <comment ref="AV1" authorId="10" shapeId="0" xr:uid="{E00956B4-400A-4D6F-A81D-FA19A1E39D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 mise en culture (Blaise Médiéval)</t>
      </text>
    </comment>
    <comment ref="AW1" authorId="11" shapeId="0" xr:uid="{9E753F59-2961-4D00-952C-44B9DD3E637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Demeure, maison</t>
      </text>
    </comment>
    <comment ref="AY1" authorId="12" shapeId="0" xr:uid="{340B1393-1E5E-4F77-9E59-223DA02EE0F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Châtaigneraie</t>
      </text>
    </comment>
    <comment ref="BA1" authorId="13" shapeId="0" xr:uid="{8A9AB523-6642-4FDB-9C17-00799E2255D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Vicus, via</t>
      </text>
    </comment>
    <comment ref="BD1" authorId="14" shapeId="0" xr:uid="{62074FDA-AA55-45B6-A6DE-5D86CE001E5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Levée</t>
      </text>
    </comment>
    <comment ref="BE1" authorId="15" shapeId="0" xr:uid="{FB5D157C-F5C0-4079-8703-D19DA20D1EF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bail pour le bétail dont le produit se partage entre le bailleur et le preneur</t>
      </text>
    </comment>
    <comment ref="BF1" authorId="16" shapeId="0" xr:uid="{DF549767-5CCB-42DF-8B68-CC78C912C3C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Bêche</t>
      </text>
    </comment>
    <comment ref="BG1" authorId="17" shapeId="0" xr:uid="{882AFD2D-DB87-4319-80E9-C65DDC6B649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terre (peut se bêcher en un jour)</t>
      </text>
    </comment>
    <comment ref="BI1" authorId="18" shapeId="0" xr:uid="{7722EFE3-8AA8-45D1-85D3-9A8E7DA4490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Lit d'un cours d'eau, fossé</t>
      </text>
    </comment>
    <comment ref="CV1" authorId="19" shapeId="0" xr:uid="{00000000-0006-0000-01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Moneta comitum Pictavensium</t>
      </text>
    </comment>
    <comment ref="Q2" authorId="20" shapeId="0" xr:uid="{00000000-0006-0000-0100-00001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L7" authorId="21" shapeId="0" xr:uid="{3C14805D-E0AA-4B2A-AFD7-EE3CA15A990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Evvangeliste</t>
      </text>
    </comment>
    <comment ref="L8" authorId="22" shapeId="0" xr:uid="{6699547D-A29A-44FA-B4FD-AFCF0697CCA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J9" authorId="23" shapeId="0" xr:uid="{B30D27BD-1388-4822-AF24-283798566BB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BX19" authorId="24" shapeId="0" xr:uid="{F20F14AD-FC62-4606-82B7-D89DC0BEA20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V20" authorId="25" shapeId="0" xr:uid="{B9FE2CA8-CDD5-4549-8FF1-1B4AB58CD9C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CH20" authorId="26" shapeId="0" xr:uid="{6862D8D7-6D21-4895-85BE-C8CC66D84F5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CU21" authorId="27" shapeId="0" xr:uid="{D34FEA2A-A3B2-45BC-A4AE-6AE9F1D7A5D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Poeza</t>
      </text>
    </comment>
    <comment ref="J22" authorId="28" shapeId="0" xr:uid="{70F2589B-10E3-4E7C-8643-568A3512860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BV22" authorId="29" shapeId="0" xr:uid="{A4617C3F-5C4F-4E23-8F4C-C03DF574B52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Devesset</t>
      </text>
    </comment>
    <comment ref="BW22" authorId="30" shapeId="0" xr:uid="{8420F29A-220C-49D5-8A47-1C81947415C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Devesset</t>
      </text>
    </comment>
    <comment ref="CD22" authorId="31" shapeId="0" xr:uid="{15E76775-5ECC-4938-8872-18257ECF465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Mesure de Devesset</t>
      </text>
    </comment>
    <comment ref="CG22" authorId="32" shapeId="0" xr:uid="{D7579E68-55B6-4DEA-AF8B-A4687DC8A50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3 mesure de Tence et 3 mesure de Devesset</t>
      </text>
    </comment>
    <comment ref="CJ22" authorId="33" shapeId="0" xr:uid="{87724888-C7BA-4566-8BCD-4263D069A1A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 mesure de Tence et 1 mesure de Devesset</t>
      </text>
    </comment>
    <comment ref="AL23" authorId="34" shapeId="0" xr:uid="{00000000-0006-0000-0100-000010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Euchias, mais sans doute erreur</t>
      </text>
    </comment>
    <comment ref="J26" authorId="35" shapeId="0" xr:uid="{303CD206-226F-46FA-8DE9-EFCA34008A0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J29" authorId="36" shapeId="0" xr:uid="{FF9E6637-98AA-4DA0-A795-B7D14058AB6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AD29" authorId="37" shapeId="0" xr:uid="{334BD14B-1BF2-4F38-ADAF-3879FFD748B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Culte vel inculte hereme et vistite</t>
      </text>
    </comment>
    <comment ref="L30" authorId="38" shapeId="0" xr:uid="{61B37404-D426-43CF-A67A-8D0E501901E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lune in festo de collationis beati Johannis</t>
      </text>
    </comment>
    <comment ref="DC37" authorId="39" shapeId="0" xr:uid="{00000000-0006-0000-0100-00003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Blaise Médiéval, Estra = Portique, galerie, appentis, devanture, maisonnette</t>
      </text>
    </comment>
    <comment ref="DC40" authorId="40" shapeId="0" xr:uid="{00000000-0006-0000-0100-00002D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Blaise Médiéval, Estra = Portique, galerie, appentis, devanture, maisonnette</t>
      </text>
    </comment>
    <comment ref="BX44" authorId="41" shapeId="0" xr:uid="{015251D9-6367-42C2-BCBD-E766580EEC6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Borzezam</t>
      </text>
    </comment>
    <comment ref="L46" authorId="42" shapeId="0" xr:uid="{F349D165-8D62-470C-8031-DAC9F17B7DD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J47" authorId="43" shapeId="0" xr:uid="{BD948BEB-B812-4C9B-A3F5-8E483DA586F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W50" authorId="44" shapeId="0" xr:uid="{00000000-0006-0000-01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Dont un lui appartient en propre</t>
      </text>
    </comment>
    <comment ref="J56" authorId="45" shapeId="0" xr:uid="{28699DE9-599E-43BC-A35D-2EA69A445E6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J72" authorId="46" shapeId="0" xr:uid="{5D8A6B34-15D8-46AC-B308-9025D76B47B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BV73" authorId="47" shapeId="0" xr:uid="{C86DDAA1-30FA-4E8C-8EFE-99929FE7EC3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BR74" authorId="48" shapeId="0" xr:uid="{1E92B553-C295-47F7-861B-F20A602993F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Dont 2 coqs</t>
      </text>
    </comment>
    <comment ref="AA90" authorId="49" shapeId="0" xr:uid="{2D1CB5D7-D920-40F0-9428-AE6BE790CCA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Bessea</t>
      </text>
    </comment>
    <comment ref="J94" authorId="50" shapeId="0" xr:uid="{63B7BB15-6BA5-4307-AD7C-7F41E108FE0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BW94" authorId="51" shapeId="0" xr:uid="{3D26DDDA-A145-4D18-AE55-3ECAD31A49E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W95" authorId="52" shapeId="0" xr:uid="{3405BCCF-F52C-4126-BAA4-527468E952F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X96" authorId="53" shapeId="0" xr:uid="{2882F9C4-A5F7-44C0-A38A-C88A405890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X98" authorId="54" shapeId="0" xr:uid="{F93650A5-C018-44EE-AB3F-A8936C55B49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J99" authorId="55" shapeId="0" xr:uid="{1617D872-95C0-4825-8149-094AFC319F9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Q103" authorId="56" shapeId="0" xr:uid="{00000000-0006-0000-0100-00001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BX103" authorId="57" shapeId="0" xr:uid="{00000000-0006-0000-0100-00001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 dont 1/2 ad mensuram Devesseti et 1/2 Tensanes</t>
      </text>
    </comment>
    <comment ref="BX104" authorId="58" shapeId="0" xr:uid="{00000000-0006-0000-0100-00001A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Mensuram Devesseti sive Borzezam</t>
      </text>
    </comment>
    <comment ref="CF104" authorId="59" shapeId="0" xr:uid="{00000000-0006-0000-0100-00001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Mensuram Devesseti sive Borzezam</t>
      </text>
    </comment>
    <comment ref="CG104" authorId="60" shapeId="0" xr:uid="{3E3E217E-EA8C-439D-9F1D-1FC263EC504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Tensani</t>
      </text>
    </comment>
    <comment ref="CT113" authorId="61" shapeId="0" xr:uid="{5A679A72-28C5-4F0A-8E25-3BF52D2CD9A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
      </text>
    </comment>
    <comment ref="J118" authorId="62" shapeId="0" xr:uid="{DA4004C7-33E4-4F12-AEDD-6A1539F8283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1344 n. st.</t>
      </text>
    </comment>
    <comment ref="BR121" authorId="63" shapeId="0" xr:uid="{48B15459-0F51-4E81-9467-D29057392D1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Coqs</t>
      </text>
    </comment>
    <comment ref="J122" authorId="64" shapeId="0" xr:uid="{6617AD20-F59F-4877-9E10-38C4B80F55B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CO127" authorId="65" shapeId="0" xr:uid="{F13F30AE-63D6-47EF-B437-9CA7D4E3EFC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De unobus cumule</t>
      </text>
    </comment>
    <comment ref="Q131" authorId="66" shapeId="0" xr:uid="{00000000-0006-0000-0100-00002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CJ133" authorId="67" shapeId="0" xr:uid="{4BE09BA6-A1AF-44BF-8016-192A28B0B34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J151" authorId="68" shapeId="0" xr:uid="{54647F6A-932E-4B4B-9AF0-056ED1BFB77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1343 n. st.</t>
      </text>
    </comment>
    <comment ref="J153" authorId="69" shapeId="0" xr:uid="{03E9D661-1C22-444A-B0C8-FC5DC9E1563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st.</t>
      </text>
    </comment>
    <comment ref="L154" authorId="70" shapeId="0" xr:uid="{F0E0EA7A-CB68-40D7-805F-951A78E14F5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155" authorId="71" shapeId="0" xr:uid="{8C820329-BB72-4B53-BB0D-2F3F4B75799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156" authorId="72" shapeId="0" xr:uid="{E2B77381-3E7E-4A3D-96F8-EDE095233DA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161" authorId="73" shapeId="0" xr:uid="{C3536127-D30F-47D9-9793-F950217E2F7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Martis post festum Beati Martini Yemalis</t>
      </text>
    </comment>
    <comment ref="L162" authorId="74" shapeId="0" xr:uid="{72EF8B83-3C85-44FD-85F2-FD4C1CBA816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lune post festum Catedre Sancti Petri</t>
      </text>
    </comment>
    <comment ref="L168" authorId="75" shapeId="0" xr:uid="{441CB76E-6E78-4F43-87DF-79552FD43BD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mercuri ante festum omnium sanctorum</t>
      </text>
    </comment>
    <comment ref="BX175" authorId="76" shapeId="0" xr:uid="{E7B3CAE1-C32C-4D39-9D42-DE707574EBB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Y175" authorId="77" shapeId="0" xr:uid="{7945B45C-1151-40E2-93D4-19393412EB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BX185" authorId="78" shapeId="0" xr:uid="{72171436-69F9-4519-923A-644C6DAAA4A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L188" authorId="79" shapeId="0" xr:uid="{558CC3CC-BF57-4DD3-8408-20CE618A723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AE188" authorId="80" shapeId="0" xr:uid="{00000000-0006-0000-0100-00001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Casale</t>
      </text>
    </comment>
    <comment ref="L189" authorId="81" shapeId="0" xr:uid="{C9065431-33F7-47CE-BEEF-A2227419070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AE189" authorId="82" shapeId="0" xr:uid="{00000000-0006-0000-0100-00001D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Casale</t>
      </text>
    </comment>
    <comment ref="L190" authorId="83" shapeId="0" xr:uid="{435CBA50-8266-42CA-9A1D-4E298AC6E3B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L194" authorId="84" shapeId="0" xr:uid="{40ADA327-DE5B-463F-9B1F-9BA6A18638F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mercuri ante festum omnium sanctorum</t>
      </text>
    </comment>
    <comment ref="L197" authorId="85" shapeId="0" xr:uid="{01C89E39-7E43-4881-83EE-EAE30A9B12A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Sabati in festo Beati Johannis Anthoni</t>
      </text>
    </comment>
    <comment ref="L200" authorId="86" shapeId="0" xr:uid="{1182E939-2FC5-42CF-8091-37827EA9710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Jonis post festum iunentionis sancte crucis</t>
      </text>
    </comment>
    <comment ref="L209" authorId="87" shapeId="0" xr:uid="{9C2AB42A-8B1D-4148-9165-66772E31912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mercuri ante festum omnium sanctorum</t>
      </text>
    </comment>
    <comment ref="Q210" authorId="88" shapeId="0" xr:uid="{00000000-0006-0000-0100-00002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G211" authorId="89" shapeId="0" xr:uid="{00000000-0006-0000-0100-00003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Cardinus = Jardin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tc={B9C11221-CF62-41E1-A999-A3BCD563E5B2}</author>
    <author>Virgile</author>
    <author>tc={8CAA14BB-4CDA-453E-A709-ED19C7D12625}</author>
    <author>tc={3817C7F3-CA00-4546-9D3B-1E2C0ED8F3CB}</author>
    <author>tc={06D42226-31A5-4EA2-8948-61073E7C9853}</author>
    <author>tc={30EEAC58-2A86-40A4-AB52-A72D9BD156F2}</author>
    <author>tc={330893F8-D143-413F-AD5C-B6E1E6823EED}</author>
    <author>tc={DF89E255-6AED-4DD1-844C-D866BAD8DAB4}</author>
    <author>tc={C3DB2642-1BFD-4197-8F3E-BD13F1FAF355}</author>
    <author>tc={32718CF0-9BC3-48C4-AD78-57C742450BD9}</author>
    <author>tc={EF7C9427-AF1C-4FA0-91BE-DF6658940818}</author>
    <author>tc={04388769-161D-4BDB-AA0E-00416FAD6748}</author>
    <author>tc={E7C753AF-BA14-4090-9239-D75055F3328B}</author>
    <author>tc={6F291AE9-00CC-4A9D-9E6D-9E6B86F87DAC}</author>
    <author>tc={88A7EEBD-316A-4218-96CB-46850E43943B}</author>
    <author>tc={6F94B921-C5F1-416D-A9F0-8F6677C62762}</author>
    <author>tc={FA31CEAD-8100-4413-8BFD-E2543EC50422}</author>
    <author>tc={86BFA940-771D-4325-8EB8-8D66A96E9869}</author>
    <author>tc={33A80041-9FE4-4DF3-B77B-BDD349CF56FE}</author>
    <author>tc={D2937009-7989-404E-97F8-610DF7FECE44}</author>
    <author>tc={1F692414-B72F-4865-A0F3-B3FDDB026211}</author>
    <author>tc={ED5F63C1-69C4-42C9-A05C-445E7E3BD7E6}</author>
    <author>tc={759BDD1C-DCFE-416A-86B4-51D0973BB800}</author>
    <author>tc={752C6C73-9047-4EA5-8352-FEB727B92F73}</author>
    <author>tc={C8C01ACA-C0DC-4A50-A7AF-73494E7AB436}</author>
    <author>tc={94074D91-1916-4E30-ACC5-72B10E597A3A}</author>
    <author>tc={2E85584D-A138-4C30-83AA-9D7FAB1AF367}</author>
    <author>tc={BCB9FD1C-AA5B-4F37-B5BB-16147DDC11BF}</author>
    <author>tc={EBC3638A-10E1-47C5-892A-1A1163CEDD46}</author>
    <author>tc={5D715F4A-A63D-47BE-BE0C-3DEDEED48806}</author>
    <author>tc={0CBD8F98-1DDE-40B7-B7BD-8A6A53A90420}</author>
    <author>tc={41837CF3-C800-49F5-8BE0-EB48B9C479A1}</author>
    <author>tc={D09763C1-F37E-4E38-9AC2-0BC8F08123D2}</author>
    <author>tc={40489528-E53F-48F9-B1B1-89248A37CE47}</author>
    <author>tc={1EBBAD5C-BFE1-4EEE-BF9F-DAB5E7CD130A}</author>
    <author>tc={A5ED471E-65F9-4227-A4C5-1F91AABF9B2F}</author>
    <author>tc={C9707098-AFFA-49C7-BAAB-E92F0547096F}</author>
    <author>tc={6106B90F-71CE-4748-B7CA-2D930D1A7E03}</author>
    <author>tc={8A33C5FF-CF7D-45AF-9395-3842CA0765EE}</author>
    <author>tc={23DBD1CB-2AEB-41AB-9F6C-2038193B46F1}</author>
    <author>tc={3C1F7DEF-435E-4026-8EBC-F9D5640ECAF7}</author>
    <author>tc={180A9EFD-D067-466A-BB96-4ED437F06149}</author>
    <author>tc={1183593C-19C2-4F60-A225-0905DE765883}</author>
    <author>tc={5E58C306-0490-45F9-8705-71B19769C07B}</author>
    <author>tc={DC6DD274-F2FA-4885-999A-7412D3EAE543}</author>
    <author>tc={91D9C4E0-7247-4D77-8C16-6D3AC639BE04}</author>
    <author>tc={F1AACE21-44F4-47B6-A2A8-ED66A3F92698}</author>
    <author>tc={D391388D-402D-4CA5-8B93-06E882D13881}</author>
    <author>tc={AB817114-876D-4B46-9070-E58F6C9B9782}</author>
    <author>tc={5C2BD293-27F8-45D6-932D-5E30F388A091}</author>
    <author>tc={97863488-2467-4B9C-999A-4BA4FA6723CC}</author>
    <author>tc={DEA87AD1-DBD7-4D9C-81A2-C10F19703E9E}</author>
    <author>tc={A92A95E6-4D38-425F-A766-13078C4C3F7E}</author>
    <author>tc={A6110A56-D157-4EA4-AE44-110B1E51994D}</author>
    <author>tc={FD39D64B-88C3-494C-8F16-00F40F86B5EC}</author>
    <author>tc={AEFCF7C4-F317-4E24-BBD4-7E2719E30767}</author>
    <author>tc={29145B55-9FFC-4B57-B89D-984D515CA015}</author>
    <author>tc={9001C9AC-1245-45C0-A442-5DF153D16686}</author>
    <author>tc={B02EA9B0-9A0D-4BFF-A8A8-707E54B367CD}</author>
    <author>tc={D103D135-C3AC-4EF7-B207-AB4A01A8A4A5}</author>
    <author>tc={8CBA9065-9055-4164-B592-9305C911D2B7}</author>
    <author>tc={50D6D341-1914-42B3-9255-9914C724A402}</author>
    <author>tc={93FC058B-E96A-451B-918A-F017D751E9FB}</author>
    <author>tc={067ABF02-5944-4AA9-ADFC-FD0C95E2F0A0}</author>
    <author>tc={7AB7F6B2-77D9-4914-864B-9CC13D048FE1}</author>
    <author>tc={3080D887-34CB-45D6-B12C-0CD953F025B3}</author>
    <author>tc={86E05C03-40A5-40A1-A509-7B145E55C508}</author>
    <author>tc={3DFABD0C-B039-42C8-A37F-4AAE3CEC4F51}</author>
    <author>tc={B891EF19-B026-4408-A691-FE67CA84FC77}</author>
    <author>tc={3DFE3648-BE14-42B7-B44E-B9EC7CAC71A4}</author>
    <author>tc={45A1CCB5-F7DC-48DE-BC1F-2357CED932A3}</author>
    <author>tc={48392741-A49A-466C-BCA8-75C3316CB19B}</author>
    <author>tc={44F5E0D3-52D7-4626-B22A-B33777BBAFCE}</author>
    <author>tc={D13BAA17-48DA-4F01-8FE8-15FFB68D6457}</author>
    <author>tc={4DFE2001-DDDF-4096-9657-B530006928C6}</author>
    <author>tc={0088625C-590D-4303-AF33-80A0F29BA7BE}</author>
    <author>tc={E0F31144-0B3D-49BB-9427-2A39139DAD15}</author>
    <author>tc={1B96DDF2-FFF6-426C-A60D-954F48DA2E76}</author>
    <author>tc={ADBCDE10-FD0C-4680-A51E-7C5860BCC81E}</author>
    <author>tc={C30ED58F-C9AB-4BCD-9D93-8BACBFBA29AF}</author>
    <author>tc={7515DE7F-DF5A-4767-B8FA-2D6AA11EEEA9}</author>
    <author>tc={878204CF-D98B-4BCC-BB38-CAAC54F2F35A}</author>
    <author>tc={C685A93E-126E-415C-B301-7733EC3FF005}</author>
    <author>tc={B1C486C8-8285-4B01-8E0E-8657678FEA57}</author>
    <author>tc={D8AD5D03-157B-4486-98B2-F481CA14E5D0}</author>
    <author>tc={18248B3D-028B-40F5-A949-C881E91EE419}</author>
    <author>tc={7B0DD61B-7ADD-449F-8FBD-61F10222B683}</author>
    <author>tc={9A12D551-46FD-4CD0-9B37-3E3F5006DA67}</author>
    <author>tc={BE89EEDF-FC82-4DC0-A5AD-6F9E1027A9BC}</author>
    <author>tc={B368074E-C2E1-416E-8CD7-1AF0DA5F3E68}</author>
    <author>tc={602F4BB2-89C0-4ED6-A8D5-A30043FF6AD3}</author>
    <author>tc={14BB0D3B-D586-418C-9EC8-133294453C5D}</author>
    <author>tc={8D7AA34B-6A53-48BE-8333-29ADAF74D59B}</author>
  </authors>
  <commentList>
    <comment ref="H32" authorId="0" shapeId="0" xr:uid="{B9C11221-CF62-41E1-A999-A3BCD563E5B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Coq</t>
      </text>
    </comment>
    <comment ref="M34" authorId="1" shapeId="0" xr:uid="{00000000-0006-0000-0200-000001000000}">
      <text>
        <r>
          <rPr>
            <b/>
            <sz val="9"/>
            <color indexed="81"/>
            <rFont val="Tahoma"/>
            <family val="2"/>
          </rPr>
          <t>Virgile:</t>
        </r>
        <r>
          <rPr>
            <sz val="9"/>
            <color indexed="81"/>
            <rFont val="Tahoma"/>
            <family val="2"/>
          </rPr>
          <t xml:space="preserve">
Bozes</t>
        </r>
      </text>
    </comment>
    <comment ref="M38" authorId="1" shapeId="0" xr:uid="{00000000-0006-0000-0200-000002000000}">
      <text>
        <r>
          <rPr>
            <b/>
            <sz val="9"/>
            <color indexed="81"/>
            <rFont val="Tahoma"/>
            <charset val="1"/>
          </rPr>
          <t>Virgile:</t>
        </r>
        <r>
          <rPr>
            <sz val="9"/>
            <color indexed="81"/>
            <rFont val="Tahoma"/>
            <charset val="1"/>
          </rPr>
          <t xml:space="preserve">
Ad mensuram Devesseti</t>
        </r>
      </text>
    </comment>
    <comment ref="I53" authorId="2" shapeId="0" xr:uid="{00000000-0006-0000-02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M57" authorId="3" shapeId="0" xr:uid="{00000000-0006-0000-02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L58" authorId="4" shapeId="0" xr:uid="{00000000-0006-0000-0200-00000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58" authorId="5" shapeId="0" xr:uid="{00000000-0006-0000-02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V58" authorId="6" shapeId="0" xr:uid="{00000000-0006-0000-0200-00000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67" authorId="7" shapeId="0" xr:uid="{00000000-0006-0000-02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67" authorId="8" shapeId="0" xr:uid="{00000000-0006-0000-0200-00000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H75" authorId="9" shapeId="0" xr:uid="{32718CF0-9BC3-48C4-AD78-57C742450BD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Coq</t>
      </text>
    </comment>
    <comment ref="M81" authorId="10" shapeId="0" xr:uid="{00000000-0006-0000-0200-00000A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U81" authorId="11" shapeId="0" xr:uid="{00000000-0006-0000-0200-00000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82" authorId="12" shapeId="0" xr:uid="{00000000-0006-0000-0200-00000C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83" authorId="13" shapeId="0" xr:uid="{00000000-0006-0000-0200-00000D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U83" authorId="14" shapeId="0" xr:uid="{00000000-0006-0000-0200-00000E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84" authorId="15" shapeId="0" xr:uid="{00000000-0006-0000-0200-00000F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85" authorId="16" shapeId="0" xr:uid="{00000000-0006-0000-0200-000010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85" authorId="17" shapeId="0" xr:uid="{00000000-0006-0000-0200-00001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87" authorId="18" shapeId="0" xr:uid="{00000000-0006-0000-0200-00001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87" authorId="19" shapeId="0" xr:uid="{00000000-0006-0000-0200-00001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89" authorId="20" shapeId="0" xr:uid="{00000000-0006-0000-0200-00001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M90" authorId="21" shapeId="0" xr:uid="{00000000-0006-0000-0200-00001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90" authorId="22" shapeId="0" xr:uid="{00000000-0006-0000-0200-00001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90" authorId="23" shapeId="0" xr:uid="{00000000-0006-0000-0200-00001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U90" authorId="24" shapeId="0" xr:uid="{00000000-0006-0000-0200-00001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AD94" authorId="25" shapeId="0" xr:uid="{00000000-0006-0000-0200-00001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Vel unius polhas</t>
      </text>
    </comment>
    <comment ref="L103" authorId="26" shapeId="0" xr:uid="{00000000-0006-0000-0200-00001A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T103" authorId="27" shapeId="0" xr:uid="{00000000-0006-0000-0200-00001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N113" authorId="28" shapeId="0" xr:uid="{EBC3638A-10E1-47C5-892A-1A1163CEDD4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O113" authorId="29" shapeId="0" xr:uid="{5D715F4A-A63D-47BE-BE0C-3DEDEED4880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T113" authorId="30" shapeId="0" xr:uid="{0CBD8F98-1DDE-40B7-B7BD-8A6A53A9042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U113" authorId="31" shapeId="0" xr:uid="{41837CF3-C800-49F5-8BE0-EB48B9C479A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Chalenconio</t>
      </text>
    </comment>
    <comment ref="T117" authorId="32" shapeId="0" xr:uid="{D09763C1-F37E-4E38-9AC2-0BC8F08123D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2" authorId="33" shapeId="0" xr:uid="{40489528-E53F-48F9-B1B1-89248A37CE4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3" authorId="34" shapeId="0" xr:uid="{1EBBAD5C-BFE1-4EEE-BF9F-DAB5E7CD130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5" authorId="35" shapeId="0" xr:uid="{A5ED471E-65F9-4227-A4C5-1F91AABF9B2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27" authorId="36" shapeId="0" xr:uid="{C9707098-AFFA-49C7-BAAB-E92F0547096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27" authorId="37" shapeId="0" xr:uid="{6106B90F-71CE-4748-B7CA-2D930D1A7E0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31" authorId="38" shapeId="0" xr:uid="{8A33C5FF-CF7D-45AF-9395-3842CA0765E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33" authorId="39" shapeId="0" xr:uid="{23DBD1CB-2AEB-41AB-9F6C-2038193B46F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136" authorId="40" shapeId="0" xr:uid="{3C1F7DEF-435E-4026-8EBC-F9D5640ECAF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36" authorId="41" shapeId="0" xr:uid="{180A9EFD-D067-466A-BB96-4ED437F0614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49" authorId="42" shapeId="0" xr:uid="{1183593C-19C2-4F60-A225-0905DE76588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52" authorId="43" shapeId="0" xr:uid="{5E58C306-0490-45F9-8705-71B19769C07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52" authorId="44" shapeId="0" xr:uid="{DC6DD274-F2FA-4885-999A-7412D3EAE54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Z153" authorId="45" shapeId="0" xr:uid="{91D9C4E0-7247-4D77-8C16-6D3AC639BE0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De unobus cumule</t>
      </text>
    </comment>
    <comment ref="N158" authorId="46" shapeId="0" xr:uid="{F1AACE21-44F4-47B6-A2A8-ED66A3F9269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59" authorId="47" shapeId="0" xr:uid="{D391388D-402D-4CA5-8B93-06E882D1388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59" authorId="48" shapeId="0" xr:uid="{AB817114-876D-4B46-9070-E58F6C9B978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60" authorId="49" shapeId="0" xr:uid="{5C2BD293-27F8-45D6-932D-5E30F388A09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AB162" authorId="50" shapeId="0" xr:uid="{97863488-2467-4B9C-999A-4BA4FA6723C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Tensuales</t>
      </text>
    </comment>
    <comment ref="K166" authorId="51" shapeId="0" xr:uid="{DEA87AD1-DBD7-4D9C-81A2-C10F19703E9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Fayni</t>
      </text>
    </comment>
    <comment ref="V166" authorId="52" shapeId="0" xr:uid="{A92A95E6-4D38-425F-A766-13078C4C3F7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K167" authorId="53" shapeId="0" xr:uid="{A6110A56-D157-4EA4-AE44-110B1E51994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R167" authorId="54" shapeId="0" xr:uid="{FD39D64B-88C3-494C-8F16-00F40F86B5E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 Fayno</t>
      </text>
    </comment>
    <comment ref="L171" authorId="55" shapeId="0" xr:uid="{AEFCF7C4-F317-4E24-BBD4-7E2719E3076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S171" authorId="56" shapeId="0" xr:uid="{29145B55-9FFC-4B57-B89D-984D515CA01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71" authorId="57" shapeId="0" xr:uid="{9001C9AC-1245-45C0-A442-5DF153D1668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75" authorId="58" shapeId="0" xr:uid="{B02EA9B0-9A0D-4BFF-A8A8-707E54B367C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79" authorId="59" shapeId="0" xr:uid="{D103D135-C3AC-4EF7-B207-AB4A01A8A4A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179" authorId="60" shapeId="0" xr:uid="{8CBA9065-9055-4164-B592-9305C911D2B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82" authorId="61" shapeId="0" xr:uid="{50D6D341-1914-42B3-9255-9914C724A40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Borzezam</t>
      </text>
    </comment>
    <comment ref="T188" authorId="62" shapeId="0" xr:uid="{93FC058B-E96A-451B-918A-F017D751E9F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91" authorId="63" shapeId="0" xr:uid="{067ABF02-5944-4AA9-ADFC-FD0C95E2F0A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91" authorId="64" shapeId="0" xr:uid="{7AB7F6B2-77D9-4914-864B-9CC13D048FE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L193" authorId="65" shapeId="0" xr:uid="{3080D887-34CB-45D6-B12C-0CD953F025B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S193" authorId="66" shapeId="0" xr:uid="{86E05C03-40A5-40A1-A509-7B145E55C50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94" authorId="67" shapeId="0" xr:uid="{3DFABD0C-B039-42C8-A37F-4AAE3CEC4F5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94" authorId="68" shapeId="0" xr:uid="{B891EF19-B026-4408-A691-FE67CA84FC7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195" authorId="69" shapeId="0" xr:uid="{3DFE3648-BE14-42B7-B44E-B9EC7CAC71A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195" authorId="70" shapeId="0" xr:uid="{45A1CCB5-F7DC-48DE-BC1F-2357CED932A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4" authorId="71" shapeId="0" xr:uid="{48392741-A49A-466C-BCA8-75C3316CB19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205" authorId="72" shapeId="0" xr:uid="{44F5E0D3-52D7-4626-B22A-B33777BBAFC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5" authorId="73" shapeId="0" xr:uid="{D13BAA17-48DA-4F01-8FE8-15FFB68D645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05" authorId="74" shapeId="0" xr:uid="{4DFE2001-DDDF-4096-9657-B530006928C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207" authorId="75" shapeId="0" xr:uid="{0088625C-590D-4303-AF33-80A0F29BA7B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7" authorId="76" shapeId="0" xr:uid="{E0F31144-0B3D-49BB-9427-2A39139DAD1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S207" authorId="77" shapeId="0" xr:uid="{1B96DDF2-FFF6-426C-A60D-954F48DA2E7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07" authorId="78" shapeId="0" xr:uid="{ADBCDE10-FD0C-4680-A51E-7C5860BCC81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08" authorId="79" shapeId="0" xr:uid="{C30ED58F-C9AB-4BCD-9D93-8BACBFBA29A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V208" authorId="80" shapeId="0" xr:uid="{7515DE7F-DF5A-4767-B8FA-2D6AA11EEEA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09" authorId="81" shapeId="0" xr:uid="{878204CF-D98B-4BCC-BB38-CAAC54F2F35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0" authorId="82" shapeId="0" xr:uid="{C685A93E-126E-415C-B301-7733EC3FF00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3" authorId="83" shapeId="0" xr:uid="{B1C486C8-8285-4B01-8E0E-8657678FEA5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4" authorId="84" shapeId="0" xr:uid="{D8AD5D03-157B-4486-98B2-F481CA14E5D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5" authorId="85" shapeId="0" xr:uid="{18248B3D-028B-40F5-A949-C881E91EE41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6" authorId="86" shapeId="0" xr:uid="{7B0DD61B-7ADD-449F-8FBD-61F10222B68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M217" authorId="87" shapeId="0" xr:uid="{9A12D551-46FD-4CD0-9B37-3E3F5006DA6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T217" authorId="88" shapeId="0" xr:uid="{BE89EEDF-FC82-4DC0-A5AD-6F9E1027A9B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19" authorId="89" shapeId="0" xr:uid="{B368074E-C2E1-416E-8CD7-1AF0DA5F3E6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219" authorId="90" shapeId="0" xr:uid="{602F4BB2-89C0-4ED6-A8D5-A30043FF6AD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N220" authorId="91" shapeId="0" xr:uid="{14BB0D3B-D586-418C-9EC8-133294453C5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 ref="U220" authorId="92" shapeId="0" xr:uid="{8D7AA34B-6A53-48BE-8333-29ADAF74D59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Ad mensuram Devesseti</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Virgile</author>
    <author>tc={EC9612A8-27E7-4E24-83F2-48ADCDF9C1FF}</author>
    <author>tc={D5A2D4BD-CBDD-4999-A026-3F59EC37DC7A}</author>
    <author>tc={4499CC00-5F86-4342-B3FB-53210A6279ED}</author>
    <author>tc={607ED0BC-469C-46A9-8958-6A4FE827F140}</author>
    <author>tc={E80842CF-E542-423F-9915-3964A1757918}</author>
    <author>tc={E4CDFF07-9080-417F-901B-F24035DFB8EB}</author>
    <author>tc={F76BFF1B-FB82-453E-B18A-3C7C27B4C2C9}</author>
    <author>tc={874C4BF3-3556-4468-ACBF-F8D66EA5C5C2}</author>
    <author>tc={DD8BFF58-656C-451E-9C63-E09B519D1BF2}</author>
    <author>tc={686C024F-8F2E-45FA-8F00-E3A3CEEF61F2}</author>
    <author>tc={B2AAC624-4D63-4B90-97C6-8923CDBACFFE}</author>
    <author>tc={D47E4A4D-DC09-42E4-9D03-E50136721AA9}</author>
    <author>tc={E423FF32-7570-4479-BD8A-239F1B37B362}</author>
    <author>tc={55CEA271-8AAD-481D-AEE5-9CC9663A3721}</author>
    <author>tc={CB11AD9C-632B-40F6-BA41-1522A70F4EFF}</author>
    <author>tc={2D35D25C-283E-4496-B194-F2425EB5563D}</author>
    <author>tc={0510E298-EABF-4FB8-942E-83C166FEC351}</author>
    <author>tc={5BB2149D-1DB4-421D-A128-C80B2E85618C}</author>
    <author>tc={7B8E3651-6115-4FC9-BC05-3226EF541BA2}</author>
    <author>tc={0DED063D-E398-4F94-A847-8CCF16F14FD0}</author>
  </authors>
  <commentList>
    <comment ref="K40" authorId="0" shapeId="0" xr:uid="{00000000-0006-0000-0300-000001000000}">
      <text>
        <r>
          <rPr>
            <b/>
            <sz val="9"/>
            <color indexed="81"/>
            <rFont val="Tahoma"/>
            <charset val="1"/>
          </rPr>
          <t>Virgile:</t>
        </r>
        <r>
          <rPr>
            <sz val="9"/>
            <color indexed="81"/>
            <rFont val="Tahoma"/>
            <charset val="1"/>
          </rPr>
          <t xml:space="preserve">
calma = petit domaine inculte, bruyère, maison de campagne, chaume (Blaise Médiéval)</t>
        </r>
      </text>
    </comment>
    <comment ref="L41" authorId="0" shapeId="0" xr:uid="{00000000-0006-0000-0300-000002000000}">
      <text>
        <r>
          <rPr>
            <b/>
            <sz val="9"/>
            <color indexed="81"/>
            <rFont val="Tahoma"/>
            <family val="2"/>
          </rPr>
          <t>Virgile:</t>
        </r>
        <r>
          <rPr>
            <sz val="9"/>
            <color indexed="81"/>
            <rFont val="Tahoma"/>
            <family val="2"/>
          </rPr>
          <t xml:space="preserve">
Riale = ruisseau (Blaise Médiéval)</t>
        </r>
      </text>
    </comment>
    <comment ref="H124" authorId="1" shapeId="0" xr:uid="{EC9612A8-27E7-4E24-83F2-48ADCDF9C1F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Pategne</t>
      </text>
    </comment>
    <comment ref="H126" authorId="2" shapeId="0" xr:uid="{D5A2D4BD-CBDD-4999-A026-3F59EC37DC7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pratum</t>
      </text>
    </comment>
    <comment ref="H162" authorId="3" shapeId="0" xr:uid="{4499CC00-5F86-4342-B3FB-53210A6279E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Pra</t>
      </text>
    </comment>
    <comment ref="C232" authorId="4" shapeId="0" xr:uid="{607ED0BC-469C-46A9-8958-6A4FE827F14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 sortie Saint-Agrève, sur route Mars</t>
      </text>
    </comment>
    <comment ref="C269" authorId="5" shapeId="0" xr:uid="{E80842CF-E542-423F-9915-3964A175791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Chercher vers Malagayta</t>
      </text>
    </comment>
    <comment ref="H392" authorId="6" shapeId="0" xr:uid="{E4CDFF07-9080-417F-901B-F24035DFB8E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Seu Petre</t>
      </text>
    </comment>
    <comment ref="C515" authorId="7" shapeId="0" xr:uid="{F76BFF1B-FB82-453E-B18A-3C7C27B4C2C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Sur route Saint-Agrève, vers Mars</t>
      </text>
    </comment>
    <comment ref="H540" authorId="8" shapeId="0" xr:uid="{874C4BF3-3556-4468-ACBF-F8D66EA5C5C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Seu tenementi</t>
      </text>
    </comment>
    <comment ref="H546" authorId="9" shapeId="0" xr:uid="{DD8BFF58-656C-451E-9C63-E09B519D1BF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sanhatz</t>
      </text>
    </comment>
    <comment ref="H578" authorId="10" shapeId="0" xr:uid="{686C024F-8F2E-45FA-8F00-E3A3CEEF61F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pratum</t>
      </text>
    </comment>
    <comment ref="I660" authorId="11" shapeId="0" xr:uid="{B2AAC624-4D63-4B90-97C6-8923CDBACFF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Également appelé Moli Veilh</t>
      </text>
    </comment>
    <comment ref="H793" authorId="12" shapeId="0" xr:uid="{D47E4A4D-DC09-42E4-9D03-E50136721AA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Bessaa</t>
      </text>
    </comment>
    <comment ref="C897" authorId="13" shapeId="0" xr:uid="{E423FF32-7570-4479-BD8A-239F1B37B36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Sud de Chanils</t>
      </text>
    </comment>
    <comment ref="I953" authorId="14" shapeId="0" xr:uid="{55CEA271-8AAD-481D-AEE5-9CC9663A372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Pigotte</t>
      </text>
    </comment>
    <comment ref="C957" authorId="15" shapeId="0" xr:uid="{CB11AD9C-632B-40F6-BA41-1522A70F4EFF}">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Malleval</t>
      </text>
    </comment>
    <comment ref="C976" authorId="16" shapeId="0" xr:uid="{2D35D25C-283E-4496-B194-F2425EB5563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Au-dessus Eyrieux</t>
      </text>
    </comment>
    <comment ref="C1014" authorId="17" shapeId="0" xr:uid="{0510E298-EABF-4FB8-942E-83C166FEC35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Sous Chaumargeais et Chaumettes</t>
      </text>
    </comment>
    <comment ref="H1019" authorId="18" shapeId="0" xr:uid="{5BB2149D-1DB4-421D-A128-C80B2E85618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pasturale</t>
      </text>
    </comment>
    <comment ref="H1037" authorId="19" shapeId="0" xr:uid="{7B8E3651-6115-4FC9-BC05-3226EF541BA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Sive Deves</t>
      </text>
    </comment>
    <comment ref="H1086" authorId="20" shapeId="0" xr:uid="{0DED063D-E398-4F94-A847-8CCF16F14FD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Seu calmam</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Virgile</author>
    <author>tc={A77A6B03-E714-4423-9B54-793958AA28CB}</author>
    <author>tc={5E922662-E143-4062-A01A-F6EF0C9E299C}</author>
    <author>tc={A77A6B03-E714-4424-9B54-793958AA28CB}</author>
    <author>tc={15C13BFA-0494-4D9E-B5B4-BB1AD1AB1439}</author>
    <author>tc={2437C6C0-A0E1-4EBD-8F15-EA3B5E0F75E8}</author>
    <author>tc={C66C6358-2068-4AAC-8B84-1A3A7CBB01B4}</author>
    <author>tc={56A8B0D5-BE36-47F8-9DF3-7AFCD5E2E8B7}</author>
  </authors>
  <commentList>
    <comment ref="K6" authorId="0" shapeId="0" xr:uid="{00000000-0006-0000-0400-000001000000}">
      <text>
        <r>
          <rPr>
            <b/>
            <sz val="9"/>
            <color indexed="81"/>
            <rFont val="Tahoma"/>
            <charset val="1"/>
          </rPr>
          <t>Virgile:</t>
        </r>
        <r>
          <rPr>
            <sz val="9"/>
            <color indexed="81"/>
            <rFont val="Tahoma"/>
            <charset val="1"/>
          </rPr>
          <t xml:space="preserve">
Preceptote Aniciensis et Devesseti</t>
        </r>
      </text>
    </comment>
    <comment ref="N7" authorId="1" shapeId="0" xr:uid="{00000000-0006-0000-04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N12" authorId="2" shapeId="0" xr:uid="{00000000-0006-0000-04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N14" authorId="3" shapeId="0" xr:uid="{00000000-0006-0000-04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Manoperas</t>
      </text>
    </comment>
    <comment ref="K15" authorId="0" shapeId="0" xr:uid="{00000000-0006-0000-0400-000007000000}">
      <text>
        <r>
          <rPr>
            <b/>
            <sz val="9"/>
            <color indexed="81"/>
            <rFont val="Tahoma"/>
            <charset val="1"/>
          </rPr>
          <t>Virgile:</t>
        </r>
        <r>
          <rPr>
            <sz val="9"/>
            <color indexed="81"/>
            <rFont val="Tahoma"/>
            <charset val="1"/>
          </rPr>
          <t xml:space="preserve">
Preceptote Aniciensis et Devesseti</t>
        </r>
      </text>
    </comment>
    <comment ref="BO16" authorId="4" shapeId="0" xr:uid="{00000000-0006-0000-04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Vel unius polhas</t>
      </text>
    </comment>
    <comment ref="J19" authorId="5" shapeId="0" xr:uid="{2437C6C0-A0E1-4EBD-8F15-EA3B5E0F75E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Die lune post festum beate Fidis</t>
      </text>
    </comment>
    <comment ref="K22" authorId="6" shapeId="0" xr:uid="{C66C6358-2068-4AAC-8B84-1A3A7CBB01B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Prioris prioratus Alvernie et preceptoris Devesseti</t>
      </text>
    </comment>
    <comment ref="K23" authorId="7" shapeId="0" xr:uid="{56A8B0D5-BE36-47F8-9DF3-7AFCD5E2E8B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Prioris prioratus Alvernie et preceptoris Devesseti</t>
      </text>
    </comment>
  </commentList>
</comments>
</file>

<file path=xl/sharedStrings.xml><?xml version="1.0" encoding="utf-8"?>
<sst xmlns="http://schemas.openxmlformats.org/spreadsheetml/2006/main" count="25190" uniqueCount="3979">
  <si>
    <t>Vilalonga</t>
  </si>
  <si>
    <t xml:space="preserve">Apud </t>
  </si>
  <si>
    <t>Boscheti</t>
  </si>
  <si>
    <t>De Curtibus</t>
  </si>
  <si>
    <t>Vilaloma</t>
  </si>
  <si>
    <t>De Feudo</t>
  </si>
  <si>
    <t>Jacobus Ruelli</t>
  </si>
  <si>
    <t>Filius</t>
  </si>
  <si>
    <t>Ruelli</t>
  </si>
  <si>
    <t>Petri Ruelli</t>
  </si>
  <si>
    <t>Filia</t>
  </si>
  <si>
    <t>Jacobus</t>
  </si>
  <si>
    <t>Curtilis</t>
  </si>
  <si>
    <t>Petrus</t>
  </si>
  <si>
    <t>Palherii</t>
  </si>
  <si>
    <t>?</t>
  </si>
  <si>
    <t>Batholomei de la Vileta</t>
  </si>
  <si>
    <t>Bartholomea</t>
  </si>
  <si>
    <t>Mchael</t>
  </si>
  <si>
    <t>Guillermus</t>
  </si>
  <si>
    <t>Joannis De La Valeta</t>
  </si>
  <si>
    <t>De La Valeta</t>
  </si>
  <si>
    <t>Ambeyserii</t>
  </si>
  <si>
    <t>Vitalis</t>
  </si>
  <si>
    <t>Simondus</t>
  </si>
  <si>
    <t>Mundonis</t>
  </si>
  <si>
    <t>Sancta Apripana</t>
  </si>
  <si>
    <t>Apud</t>
  </si>
  <si>
    <t>Guillermi de Herrones</t>
  </si>
  <si>
    <t>Nicolay de Hereu</t>
  </si>
  <si>
    <t>Perochonis de Hereu</t>
  </si>
  <si>
    <t>Guillermi de Hereu</t>
  </si>
  <si>
    <t>Bartholomeus</t>
  </si>
  <si>
    <t>Ruela</t>
  </si>
  <si>
    <t>Petri de Ruppe</t>
  </si>
  <si>
    <t>Armandus</t>
  </si>
  <si>
    <t>Guillermi Berthoni</t>
  </si>
  <si>
    <t>Johanneta</t>
  </si>
  <si>
    <t>Blanchia</t>
  </si>
  <si>
    <t>Michael</t>
  </si>
  <si>
    <t>Guillermus De La Rocha</t>
  </si>
  <si>
    <t>Uxor</t>
  </si>
  <si>
    <t>De La Rocha</t>
  </si>
  <si>
    <t>Petronilla</t>
  </si>
  <si>
    <t>De Combasors</t>
  </si>
  <si>
    <t>Rivotorto et Jannat</t>
  </si>
  <si>
    <t>Roery</t>
  </si>
  <si>
    <t>Stephanus</t>
  </si>
  <si>
    <t>Guigonis de Villario</t>
  </si>
  <si>
    <t>Terrassa</t>
  </si>
  <si>
    <t>Poncius</t>
  </si>
  <si>
    <t>Guillermi Del Hapote</t>
  </si>
  <si>
    <t>Margorona</t>
  </si>
  <si>
    <t>Natalis</t>
  </si>
  <si>
    <t>Petri Del Charaucher Jannat</t>
  </si>
  <si>
    <t>Del Charaucher et Jannat</t>
  </si>
  <si>
    <t>Posant</t>
  </si>
  <si>
    <t>Ponceti de Paulhac</t>
  </si>
  <si>
    <t>Paulhac</t>
  </si>
  <si>
    <t>De Paulhac</t>
  </si>
  <si>
    <t>Mondegolas</t>
  </si>
  <si>
    <t>Mastortel</t>
  </si>
  <si>
    <t>Domicellus</t>
  </si>
  <si>
    <t>Nobilis</t>
  </si>
  <si>
    <t>Bruni</t>
  </si>
  <si>
    <t>De La Chalin</t>
  </si>
  <si>
    <t>Albi</t>
  </si>
  <si>
    <t>Gregorius</t>
  </si>
  <si>
    <t>Masalibrant</t>
  </si>
  <si>
    <t>Blachonis</t>
  </si>
  <si>
    <t>Egidius</t>
  </si>
  <si>
    <t>Nom deviné à partir celui père</t>
  </si>
  <si>
    <t>Petri Pastre</t>
  </si>
  <si>
    <t>Pastre</t>
  </si>
  <si>
    <t>Benedicta</t>
  </si>
  <si>
    <t>Mola</t>
  </si>
  <si>
    <t>Joannes Berthanis</t>
  </si>
  <si>
    <t>Malavalle</t>
  </si>
  <si>
    <t>Malagueyta</t>
  </si>
  <si>
    <t>Notarius</t>
  </si>
  <si>
    <t>Joannis Malageyta</t>
  </si>
  <si>
    <t>Batholomei Malageyta</t>
  </si>
  <si>
    <t>De Malagueyta</t>
  </si>
  <si>
    <t>Stephani Malagueyta</t>
  </si>
  <si>
    <t>Nicholay Malagueyta</t>
  </si>
  <si>
    <t>Les Reymons</t>
  </si>
  <si>
    <t>Raymondi</t>
  </si>
  <si>
    <t>Martius de Molendino</t>
  </si>
  <si>
    <t>Le Moulin de Chalmelaux</t>
  </si>
  <si>
    <t>De Molendino</t>
  </si>
  <si>
    <t>Le Mont Saint Mart</t>
  </si>
  <si>
    <t>Hugo</t>
  </si>
  <si>
    <t>Joannis Valentis</t>
  </si>
  <si>
    <t>Del Mont</t>
  </si>
  <si>
    <t>De Mundo</t>
  </si>
  <si>
    <t>Las Ruchas</t>
  </si>
  <si>
    <t>De Las Ruchas</t>
  </si>
  <si>
    <t>Joannis De Las Ruchas</t>
  </si>
  <si>
    <t>Valentinus</t>
  </si>
  <si>
    <t>Las Cheressas</t>
  </si>
  <si>
    <t>Staphanus</t>
  </si>
  <si>
    <t>La Terrassa</t>
  </si>
  <si>
    <t>Vinati</t>
  </si>
  <si>
    <t>La Brueria</t>
  </si>
  <si>
    <t>Matheus</t>
  </si>
  <si>
    <t>La Bocha</t>
  </si>
  <si>
    <t>De la Bocha</t>
  </si>
  <si>
    <t>Martinus</t>
  </si>
  <si>
    <t>Font Moreta</t>
  </si>
  <si>
    <t>Brossardi</t>
  </si>
  <si>
    <t>Jacobi de Filatrama</t>
  </si>
  <si>
    <t>Filatrama</t>
  </si>
  <si>
    <t>De Filatrama</t>
  </si>
  <si>
    <t>El Sape</t>
  </si>
  <si>
    <t>El Mont de Mars</t>
  </si>
  <si>
    <t>Devessetum</t>
  </si>
  <si>
    <t>Damila</t>
  </si>
  <si>
    <t>Chanclausas</t>
  </si>
  <si>
    <t>Damela</t>
  </si>
  <si>
    <t>Pontius</t>
  </si>
  <si>
    <t>Chastaguier de Jannat</t>
  </si>
  <si>
    <t>Guillermi de Chanalis</t>
  </si>
  <si>
    <t>Chanilis</t>
  </si>
  <si>
    <t>Petri De Chanalis</t>
  </si>
  <si>
    <t>Chandeyrolas</t>
  </si>
  <si>
    <t>Chanclaux</t>
  </si>
  <si>
    <t>De Ponte</t>
  </si>
  <si>
    <t>Aliza</t>
  </si>
  <si>
    <t>Vitalis De Ponte</t>
  </si>
  <si>
    <t>Champanach et Chamclaus</t>
  </si>
  <si>
    <t>Sanhas</t>
  </si>
  <si>
    <t>Guillermi Boyronis</t>
  </si>
  <si>
    <t>Boyronis</t>
  </si>
  <si>
    <t>Petri Richa</t>
  </si>
  <si>
    <t>Richa</t>
  </si>
  <si>
    <t>Bonafides</t>
  </si>
  <si>
    <t>Guillermita</t>
  </si>
  <si>
    <t>Servientes</t>
  </si>
  <si>
    <t>Thomas</t>
  </si>
  <si>
    <t>Chalmetas</t>
  </si>
  <si>
    <t>Poncii De Hereone</t>
  </si>
  <si>
    <t>De Hereone</t>
  </si>
  <si>
    <t>Martini</t>
  </si>
  <si>
    <t>Paulini</t>
  </si>
  <si>
    <t>Parayre</t>
  </si>
  <si>
    <t>De Chalmetas</t>
  </si>
  <si>
    <t>Nom deviné à partir celui mari</t>
  </si>
  <si>
    <t>Saucency Marconils</t>
  </si>
  <si>
    <t>Chalmarius</t>
  </si>
  <si>
    <t>Jacobi</t>
  </si>
  <si>
    <t>De Calma</t>
  </si>
  <si>
    <t>Guillermi Fabii</t>
  </si>
  <si>
    <t>Fabii</t>
  </si>
  <si>
    <t>Joannes Martius</t>
  </si>
  <si>
    <t>Aprila</t>
  </si>
  <si>
    <t>Calma</t>
  </si>
  <si>
    <t>Guillermis</t>
  </si>
  <si>
    <t>Blanchonis</t>
  </si>
  <si>
    <t>Antonius</t>
  </si>
  <si>
    <t>Clementis</t>
  </si>
  <si>
    <t>Asteyra</t>
  </si>
  <si>
    <t>Bressonis</t>
  </si>
  <si>
    <t>Michaelis Chome</t>
  </si>
  <si>
    <t>Foreza</t>
  </si>
  <si>
    <t>Guillerma</t>
  </si>
  <si>
    <t>Girandus</t>
  </si>
  <si>
    <t>Bramasan</t>
  </si>
  <si>
    <t>Joannis de Ruppe</t>
  </si>
  <si>
    <t>Blanchetas</t>
  </si>
  <si>
    <t>De Ruppe</t>
  </si>
  <si>
    <t>Avenas</t>
  </si>
  <si>
    <t>Stephanis Palachecha</t>
  </si>
  <si>
    <t>Pelachecha</t>
  </si>
  <si>
    <t>Michailis de la Gardeta</t>
  </si>
  <si>
    <t>De La Gardeta</t>
  </si>
  <si>
    <t>D'Avenas</t>
  </si>
  <si>
    <t>Nobilis et domicellus</t>
  </si>
  <si>
    <t>Rocheta</t>
  </si>
  <si>
    <t>Guilermus</t>
  </si>
  <si>
    <t>Rouchonis</t>
  </si>
  <si>
    <t>De La Fauria</t>
  </si>
  <si>
    <t>Remarque</t>
  </si>
  <si>
    <t>Autre personne en question</t>
  </si>
  <si>
    <t>Lien avec une autre personne</t>
  </si>
  <si>
    <t>Localité</t>
  </si>
  <si>
    <t>Supplément</t>
  </si>
  <si>
    <t>Nom</t>
  </si>
  <si>
    <t>Prénom</t>
  </si>
  <si>
    <t>Ajout</t>
  </si>
  <si>
    <t>Similarité avec liste 1669</t>
  </si>
  <si>
    <t>Homonyme avec liste 1669</t>
  </si>
  <si>
    <t>Del Sape</t>
  </si>
  <si>
    <t>Homonymie avec un rattificateur du 1669</t>
  </si>
  <si>
    <t>Anné</t>
  </si>
  <si>
    <t>Mois</t>
  </si>
  <si>
    <t>Jour</t>
  </si>
  <si>
    <t>Segureti del Cosimi</t>
  </si>
  <si>
    <t>Chalmariais</t>
  </si>
  <si>
    <t>Mars</t>
  </si>
  <si>
    <t>Renaud de Fay</t>
  </si>
  <si>
    <t>Statut</t>
  </si>
  <si>
    <t>Talhabilis ad omnimodas voluntatis</t>
  </si>
  <si>
    <t>Implication statut</t>
  </si>
  <si>
    <t>Statut terre</t>
  </si>
  <si>
    <t>Contractus emphiteotitarii</t>
  </si>
  <si>
    <t>Oui</t>
  </si>
  <si>
    <t>Prata</t>
  </si>
  <si>
    <t>Nemora</t>
  </si>
  <si>
    <t>Orti</t>
  </si>
  <si>
    <t>Jour paiement</t>
  </si>
  <si>
    <t>Toussaint</t>
  </si>
  <si>
    <t>Fait à</t>
  </si>
  <si>
    <t>Notaire</t>
  </si>
  <si>
    <t>Metheus Morelli de Ruppepaula</t>
  </si>
  <si>
    <t>Témoin 1</t>
  </si>
  <si>
    <t>Témoin 2</t>
  </si>
  <si>
    <t>Matheo Matinerii</t>
  </si>
  <si>
    <t>Johaneta</t>
  </si>
  <si>
    <t>Trona</t>
  </si>
  <si>
    <t>H</t>
  </si>
  <si>
    <t>F</t>
  </si>
  <si>
    <t>Genre</t>
  </si>
  <si>
    <t>Manobrias</t>
  </si>
  <si>
    <t>Jornalia</t>
  </si>
  <si>
    <t>Chareis</t>
  </si>
  <si>
    <t>Non</t>
  </si>
  <si>
    <t>Lieux terres</t>
  </si>
  <si>
    <t>Pasturalia</t>
  </si>
  <si>
    <t>Type de Juridiction</t>
  </si>
  <si>
    <t xml:space="preserve">Merum et mixtum imperium </t>
  </si>
  <si>
    <t>Castrum / Mandement</t>
  </si>
  <si>
    <t>Loci seu castri de Chalmariais</t>
  </si>
  <si>
    <t>Mandemento et infra mandamentum loci de Chalmariais</t>
  </si>
  <si>
    <t>Agnita</t>
  </si>
  <si>
    <t>De Sancto Anthonio</t>
  </si>
  <si>
    <t>Commandeur (italique = non dit)</t>
  </si>
  <si>
    <t>Homo-licgius, justitabilis et expletabilis</t>
  </si>
  <si>
    <t>Pour</t>
  </si>
  <si>
    <t>Pro ortis</t>
  </si>
  <si>
    <t>Cens en poule</t>
  </si>
  <si>
    <r>
      <t xml:space="preserve">Cens en avoine (en </t>
    </r>
    <r>
      <rPr>
        <sz val="11"/>
        <color rgb="FFFF0000"/>
        <rFont val="Calibri"/>
        <family val="2"/>
        <scheme val="minor"/>
      </rPr>
      <t>M^C</t>
    </r>
    <r>
      <rPr>
        <sz val="11"/>
        <color theme="1"/>
        <rFont val="Calibri"/>
        <family val="2"/>
        <scheme val="minor"/>
      </rPr>
      <t>, mesure de Tence)</t>
    </r>
  </si>
  <si>
    <t>Cens en Tonem (vêtement)</t>
  </si>
  <si>
    <t>Guiloneta</t>
  </si>
  <si>
    <t>Uxor Laurentis Marsonis</t>
  </si>
  <si>
    <t>Terrae</t>
  </si>
  <si>
    <t>cens en seigle (en cartalis)</t>
  </si>
  <si>
    <r>
      <t xml:space="preserve">Cense en seigle (en </t>
    </r>
    <r>
      <rPr>
        <sz val="11"/>
        <color rgb="FFFF0000"/>
        <rFont val="Calibri"/>
        <family val="2"/>
        <scheme val="minor"/>
      </rPr>
      <t>M^C</t>
    </r>
    <r>
      <rPr>
        <sz val="11"/>
        <color theme="1"/>
        <rFont val="Calibri"/>
        <family val="2"/>
        <scheme val="minor"/>
      </rPr>
      <t>, Mesure de Tence)</t>
    </r>
  </si>
  <si>
    <t>Collone Sup</t>
  </si>
  <si>
    <t>Censu et talha</t>
  </si>
  <si>
    <t>Avril</t>
  </si>
  <si>
    <t>Johanes</t>
  </si>
  <si>
    <t>Chalmetis</t>
  </si>
  <si>
    <t>Prout alii homines</t>
  </si>
  <si>
    <t>Pascua</t>
  </si>
  <si>
    <t>Compos</t>
  </si>
  <si>
    <t>Casalia</t>
  </si>
  <si>
    <t>Casamenta</t>
  </si>
  <si>
    <t>Cens en seigle (en setier)</t>
  </si>
  <si>
    <t>Cens en avoine (en setier)</t>
  </si>
  <si>
    <t>Cens en avoine (en cartalis)</t>
  </si>
  <si>
    <t>Monaie (sous)</t>
  </si>
  <si>
    <t>Mandamentum et juridictione castri seu loci de Chalmariais</t>
  </si>
  <si>
    <t>Devesset, in turre supra portam</t>
  </si>
  <si>
    <t>Fratre Johane Meruli</t>
  </si>
  <si>
    <t>Johane de Fila Trama</t>
  </si>
  <si>
    <t>Janvier</t>
  </si>
  <si>
    <t>De Thome</t>
  </si>
  <si>
    <t>Magistrus</t>
  </si>
  <si>
    <t>Talhabilis et expletabilis ad omnimodas voluntatis</t>
  </si>
  <si>
    <t>Homo-ligius, talhabilis et expletabilis ac justitalis</t>
  </si>
  <si>
    <t>Complément sur Corvées</t>
  </si>
  <si>
    <t>Et alii tonoeras prout alii homines</t>
  </si>
  <si>
    <t>Domi</t>
  </si>
  <si>
    <t>Autres possessions</t>
  </si>
  <si>
    <t>Chalmariais et Chalmetas</t>
  </si>
  <si>
    <t>Johanem de la Dilha</t>
  </si>
  <si>
    <t>Fransons</t>
  </si>
  <si>
    <t>Avec bœufs et animaux</t>
  </si>
  <si>
    <t>Avec bœufs</t>
  </si>
  <si>
    <t>Grangiae</t>
  </si>
  <si>
    <t>Code</t>
  </si>
  <si>
    <t>Lieu</t>
  </si>
  <si>
    <t>Année</t>
  </si>
  <si>
    <t>Pro</t>
  </si>
  <si>
    <t>Bayliagio</t>
  </si>
  <si>
    <t>Nemore</t>
  </si>
  <si>
    <t>Confront 1</t>
  </si>
  <si>
    <t>Confront 2</t>
  </si>
  <si>
    <t>Chalamariais</t>
  </si>
  <si>
    <t>Non est diu assensate pro ipsum</t>
  </si>
  <si>
    <t>Petia Girandi Fayni</t>
  </si>
  <si>
    <t>Terra Chome Chambonant</t>
  </si>
  <si>
    <t>Nemoris</t>
  </si>
  <si>
    <t>Sancto Anthonio</t>
  </si>
  <si>
    <t>Olim aquisit Amarco de Chalmariais</t>
  </si>
  <si>
    <t>Incluzo (voir détails sur possessions)</t>
  </si>
  <si>
    <t>Petiarum</t>
  </si>
  <si>
    <t>Laolh et Onchis de Novo</t>
  </si>
  <si>
    <t>Dont (voir détailssur redevances)</t>
  </si>
  <si>
    <t>Bayliagio + Nemora</t>
  </si>
  <si>
    <t>Baylliagio</t>
  </si>
  <si>
    <t>Petia situé à Chalmariais</t>
  </si>
  <si>
    <t>Peyros</t>
  </si>
  <si>
    <t>Denesia (lieu interdit pour le pâturage)</t>
  </si>
  <si>
    <t>Chalmetis et Chalmariais</t>
  </si>
  <si>
    <t>Cens en avoine (en ras)</t>
  </si>
  <si>
    <t>Prato</t>
  </si>
  <si>
    <t>Pratis</t>
  </si>
  <si>
    <t>Aquisit a jacmeta de Sancto Anthonio</t>
  </si>
  <si>
    <t>prato</t>
  </si>
  <si>
    <t>Castri de Chalmariais</t>
  </si>
  <si>
    <t>Jacobo Solerii de Chambone</t>
  </si>
  <si>
    <t>Petrus Guilloti de Chalmariais</t>
  </si>
  <si>
    <t>Témoin 3</t>
  </si>
  <si>
    <t>Johane de Chalmetas</t>
  </si>
  <si>
    <t>Johane</t>
  </si>
  <si>
    <t>Raymundi de Macello</t>
  </si>
  <si>
    <t>Los Reymons</t>
  </si>
  <si>
    <t>Ses propres terres</t>
  </si>
  <si>
    <t>Terre Domine de Lardayrol sine de Veilharma</t>
  </si>
  <si>
    <t>Confront 3</t>
  </si>
  <si>
    <t>Terra Johanis de Chalmis</t>
  </si>
  <si>
    <t>Terra dicti Petri Raymundi</t>
  </si>
  <si>
    <t>Terra Petri Raymundi</t>
  </si>
  <si>
    <t>Terra illorum Dens Masens</t>
  </si>
  <si>
    <t>Teritorii Dens Clotz</t>
  </si>
  <si>
    <t>Territorio vocato Dens Clotz</t>
  </si>
  <si>
    <t xml:space="preserve">Parte sue </t>
  </si>
  <si>
    <t>Partem suam</t>
  </si>
  <si>
    <t>Campum</t>
  </si>
  <si>
    <t>Possession</t>
  </si>
  <si>
    <t>Juxta calmam Dens Bayilhs</t>
  </si>
  <si>
    <t>Territorio de Maysonetis</t>
  </si>
  <si>
    <t>Promidunso cum diminis de Bello Prandici</t>
  </si>
  <si>
    <t>Monaie (pogesa)</t>
  </si>
  <si>
    <t>Armando de Villa Nova Devesseti</t>
  </si>
  <si>
    <t>Petro Boata filio Johanis […]  de Tensano</t>
  </si>
  <si>
    <t>Johanne de Laschalins</t>
  </si>
  <si>
    <t>Raynaud de Fay</t>
  </si>
  <si>
    <t>Parte sue teritorii Dens Clotz + Parte calme vocate Dens Bayilh sita in territorio de Maysonetis</t>
  </si>
  <si>
    <t>Autres</t>
  </si>
  <si>
    <t>Pontetz</t>
  </si>
  <si>
    <t>Dens Pontetz</t>
  </si>
  <si>
    <t>Teritorio de Laschalins</t>
  </si>
  <si>
    <t>Terra quorone dicte domus Devesseti</t>
  </si>
  <si>
    <t>Terra comitatis vocatis de Maysonetis</t>
  </si>
  <si>
    <t>Nemore Fansonis de Chalmetis</t>
  </si>
  <si>
    <t>Rialha vocate de Lacrestrana</t>
  </si>
  <si>
    <t>Prati</t>
  </si>
  <si>
    <t>In loco comitatis ad censum pertinentiis domui seu castrii Devesseti</t>
  </si>
  <si>
    <t>Picte</t>
  </si>
  <si>
    <t>Picta</t>
  </si>
  <si>
    <t>Assensa</t>
  </si>
  <si>
    <t>Monaie (obole)</t>
  </si>
  <si>
    <t>Diem Potne</t>
  </si>
  <si>
    <t>Une partie</t>
  </si>
  <si>
    <t>Mandemento et infra mandamentum juridictione loci et castri de Chalmariais</t>
  </si>
  <si>
    <t>Guigona</t>
  </si>
  <si>
    <t>Mulier-licgia, justitabilis et expletabilis</t>
  </si>
  <si>
    <t>Mulier-licgia justitabilis</t>
  </si>
  <si>
    <t>Nemore de Fansons de Chalmetis</t>
  </si>
  <si>
    <t>Los Bimatz de Chalmetis</t>
  </si>
  <si>
    <t>Cens en seigle (ennem)</t>
  </si>
  <si>
    <t>Cens en avoine (ennem)</t>
  </si>
  <si>
    <t>Olim fuit Gregorii de la Boscha</t>
  </si>
  <si>
    <t>Olim fuit Gregorii de La Boscha</t>
  </si>
  <si>
    <t>In territorio de Maysonetis</t>
  </si>
  <si>
    <t>Cum illis de Bello Prandio et dicte domus</t>
  </si>
  <si>
    <t>Possessions forment 1/3 Tenement Dens Potetz + nemus + bayliagio + calma + assensa</t>
  </si>
  <si>
    <t>Possession forment 1/2 loci et teritorii Dens Pontetz + bayliagio + prata + calma + assensa</t>
  </si>
  <si>
    <t>Mandemento et infra mandamentum castri de Chalmariais</t>
  </si>
  <si>
    <t>Petro Anibayserii clerico</t>
  </si>
  <si>
    <t>Matheo Morelli de Ruppe Paula</t>
  </si>
  <si>
    <t>Vitale</t>
  </si>
  <si>
    <t>De Chalmetis</t>
  </si>
  <si>
    <t>Girandus et Martinus</t>
  </si>
  <si>
    <t>De la Boscha</t>
  </si>
  <si>
    <t>Molendinus</t>
  </si>
  <si>
    <t>La Boscha</t>
  </si>
  <si>
    <t>Terra de Gardalhac</t>
  </si>
  <si>
    <t>Terra cartina domus Devesseti</t>
  </si>
  <si>
    <t>Assensamento del Rochaynli et de Las Chalmassas</t>
  </si>
  <si>
    <t>Matheo Bergii de la Boscha</t>
  </si>
  <si>
    <t>Mai</t>
  </si>
  <si>
    <t>Plus</t>
  </si>
  <si>
    <t>Fils Girandus</t>
  </si>
  <si>
    <t>Fait même hommage que son père</t>
  </si>
  <si>
    <t>Lo Bergeris</t>
  </si>
  <si>
    <t>Talhabilis et expletabilis</t>
  </si>
  <si>
    <t>Domum</t>
  </si>
  <si>
    <t>Sitam apud Lapescha</t>
  </si>
  <si>
    <t>Terra loci de Chalmetis</t>
  </si>
  <si>
    <t>Nemore de Hao</t>
  </si>
  <si>
    <t>Aqua de Lobaressas</t>
  </si>
  <si>
    <t>Illisible</t>
  </si>
  <si>
    <t>De Flachoco</t>
  </si>
  <si>
    <t>La Brueyra</t>
  </si>
  <si>
    <t>Pro Guigone eius uxoris</t>
  </si>
  <si>
    <t>Pratum</t>
  </si>
  <si>
    <t>Situm in locum vocatum del Reondet de la Boscha</t>
  </si>
  <si>
    <t>Pratis Girandi et Martini de la Boscha</t>
  </si>
  <si>
    <t>Prato Girandi Fayni de Chalmariais</t>
  </si>
  <si>
    <t>Devesset, in turre supra portam fortalicii</t>
  </si>
  <si>
    <t>Johane Blaoner</t>
  </si>
  <si>
    <t>Martina Maria</t>
  </si>
  <si>
    <t>Castri Devesseti</t>
  </si>
  <si>
    <t>Page barrée et pas finie (vacat)</t>
  </si>
  <si>
    <t>Raymundus</t>
  </si>
  <si>
    <t>Situm in teritorio de Chalmariais</t>
  </si>
  <si>
    <t>Prato Peyruchonis Paulini de la Brueira</t>
  </si>
  <si>
    <t>Pasturali Johanis de Chalmetis</t>
  </si>
  <si>
    <t>Vinatz illorum de Chalmetis</t>
  </si>
  <si>
    <t>Confront 4</t>
  </si>
  <si>
    <t>Pasturali Mathei de la Brueira</t>
  </si>
  <si>
    <t>Bernardo de Ruppe</t>
  </si>
  <si>
    <t>Armandi de Devesseto</t>
  </si>
  <si>
    <t>Peyruchonus</t>
  </si>
  <si>
    <t>Nemus</t>
  </si>
  <si>
    <t>Situm apud Coray in territorio de Chalmetis</t>
  </si>
  <si>
    <t>Nemore de Chalmetis</t>
  </si>
  <si>
    <t>Nemore illorum Dens Potetz</t>
  </si>
  <si>
    <t>Situm in prato de Lobaressas situm in teritorio de Chalmetis et de Chalmetis</t>
  </si>
  <si>
    <r>
      <rPr>
        <sz val="11"/>
        <color rgb="FFFF0000"/>
        <rFont val="Calibri"/>
        <family val="2"/>
        <scheme val="minor"/>
      </rPr>
      <t>Iro</t>
    </r>
    <r>
      <rPr>
        <sz val="11"/>
        <color theme="1"/>
        <rFont val="Calibri"/>
        <family val="2"/>
        <scheme val="minor"/>
      </rPr>
      <t xml:space="preserve"> de Lobaressas</t>
    </r>
  </si>
  <si>
    <t>Prato Girandi et Martini de Boscha</t>
  </si>
  <si>
    <t>Fratre Petro de Casalibus (Hospitalier)</t>
  </si>
  <si>
    <t>Raymundo Parare</t>
  </si>
  <si>
    <t>Situm subtus Coray</t>
  </si>
  <si>
    <t>Nemore de Coray</t>
  </si>
  <si>
    <t>Passata de Coray de Lobaressas</t>
  </si>
  <si>
    <t>Domus</t>
  </si>
  <si>
    <t>Ouchias</t>
  </si>
  <si>
    <t>Août</t>
  </si>
  <si>
    <t>Devessetum, in camera inferiore fratris Petri</t>
  </si>
  <si>
    <t>Las Poseyras</t>
  </si>
  <si>
    <t>Posarot</t>
  </si>
  <si>
    <t>Artaud de Fay</t>
  </si>
  <si>
    <t>Situm apud Las Posagras</t>
  </si>
  <si>
    <t>Terra quartina dicte domus (Devesseti) quadam charali media</t>
  </si>
  <si>
    <t>Terra grangie dernola fratris Jacobi quadam passata media</t>
  </si>
  <si>
    <t>A parte inferiore cum terra quartina dicte domus</t>
  </si>
  <si>
    <t>Prato dicti Petri</t>
  </si>
  <si>
    <t>Johane Chana</t>
  </si>
  <si>
    <t>Michaele filio Guillelmi Badeli</t>
  </si>
  <si>
    <t>Nycholao Pilesi clerico donato dicti hospitalis</t>
  </si>
  <si>
    <t>Petro Girardo</t>
  </si>
  <si>
    <t>Tanani</t>
  </si>
  <si>
    <t>Dens Tenanos</t>
  </si>
  <si>
    <t>Pro Johaneta et Jacineta eius nepotum</t>
  </si>
  <si>
    <t>Sitas in loco Dens Tananos</t>
  </si>
  <si>
    <t>Loco Dens Tenanos</t>
  </si>
  <si>
    <t>Dens Tananos</t>
  </si>
  <si>
    <t>Territorio de Ganesto et Pratis de Ramigius</t>
  </si>
  <si>
    <t>Pratis et petus loci de Fila Trama et territorio grangiagii de Chauleto</t>
  </si>
  <si>
    <t>Terra prioratus de Chambone</t>
  </si>
  <si>
    <t>Terra grangiagii de Chauleto</t>
  </si>
  <si>
    <t>Terra domini aniciensis episcopi</t>
  </si>
  <si>
    <t>Merum et mixtum imperio</t>
  </si>
  <si>
    <t>Andree Despaetis</t>
  </si>
  <si>
    <t>Vitale Claustrerii du Ruppe</t>
  </si>
  <si>
    <t>Bona Sabateno</t>
  </si>
  <si>
    <t>Enfants</t>
  </si>
  <si>
    <t>Femme</t>
  </si>
  <si>
    <t>Neveux</t>
  </si>
  <si>
    <t>Représente</t>
  </si>
  <si>
    <t>Filius Jacobi</t>
  </si>
  <si>
    <t>Johannes</t>
  </si>
  <si>
    <t>Pro Petri eius fratris</t>
  </si>
  <si>
    <t>Frère</t>
  </si>
  <si>
    <t>Grangiam</t>
  </si>
  <si>
    <t>Ortos</t>
  </si>
  <si>
    <t>Sitos in loco de Fila Trama</t>
  </si>
  <si>
    <t>Sitam apud Fila Trama</t>
  </si>
  <si>
    <t>Garaitum</t>
  </si>
  <si>
    <t>Tenemento de Chauleto</t>
  </si>
  <si>
    <t>Tenemento Michaelis Tanani</t>
  </si>
  <si>
    <t>Dicti domibus (de Fila Trama)</t>
  </si>
  <si>
    <t>Situm in dicto loco (de Fila Trama)</t>
  </si>
  <si>
    <t>Dicto Garaito</t>
  </si>
  <si>
    <t>Sita in dicto tenemento (de Fila Trama)</t>
  </si>
  <si>
    <t>Pratis dicti Michaelis Tanani</t>
  </si>
  <si>
    <t>Terra dominorum veteris Armati</t>
  </si>
  <si>
    <t>De juridictione omnimoda</t>
  </si>
  <si>
    <t>De juridictione omnimoda et merum et mistum imperium</t>
  </si>
  <si>
    <t>In quadam compositione olim facta inter dominum aniciensis episcopum et domum Devesseti</t>
  </si>
  <si>
    <t>Guillermo Anianis de Sancto Agrippavo clerico notarii</t>
  </si>
  <si>
    <t>Terra</t>
  </si>
  <si>
    <t>Levata + terra</t>
  </si>
  <si>
    <t>Nemus + 2 prati</t>
  </si>
  <si>
    <t>Ortum</t>
  </si>
  <si>
    <t>Gragia + terra + garaita + prata + terra in villanagium</t>
  </si>
  <si>
    <t>In vilanagium</t>
  </si>
  <si>
    <t>Mont St Marci</t>
  </si>
  <si>
    <t>Parrochie de Tensano</t>
  </si>
  <si>
    <t>Sitas apud le Mont St Marci</t>
  </si>
  <si>
    <t>Loco et territorio del Mont</t>
  </si>
  <si>
    <t>Territorium del Mont</t>
  </si>
  <si>
    <t>Terra hominum de Mendigalas</t>
  </si>
  <si>
    <t>Terra heredum Mathei Chaluent de Mendigolas</t>
  </si>
  <si>
    <t>Territorio del Mastortet</t>
  </si>
  <si>
    <t>Confront 5</t>
  </si>
  <si>
    <t>Territorio de Paulhat</t>
  </si>
  <si>
    <t>Homo-licgius justitabilis</t>
  </si>
  <si>
    <t>Domam et grangiam</t>
  </si>
  <si>
    <t>Apud Lemont</t>
  </si>
  <si>
    <t>Blancheta</t>
  </si>
  <si>
    <t>Pro Anthonie Marse eius filiabus</t>
  </si>
  <si>
    <t>Fille</t>
  </si>
  <si>
    <t>Loco de territoio de Mundo</t>
  </si>
  <si>
    <t>Arnaudo de Macello clerico</t>
  </si>
  <si>
    <t>Michele de sollepniaco</t>
  </si>
  <si>
    <t>Vitale de Mundo</t>
  </si>
  <si>
    <t>De Sollemniaco</t>
  </si>
  <si>
    <t>nomine Andiene eius uxoris</t>
  </si>
  <si>
    <t>Mari</t>
  </si>
  <si>
    <t>Territorio de Paulhac</t>
  </si>
  <si>
    <t>1 Seytorata prati</t>
  </si>
  <si>
    <t>Unam seytoratam prati vocati prati soleyra</t>
  </si>
  <si>
    <t>calma vocata Chalm Naal</t>
  </si>
  <si>
    <t>Terra Poncii de Paulhac</t>
  </si>
  <si>
    <t>Prato liberorum Johanis de Paulhac</t>
  </si>
  <si>
    <t>Cens en seigle (emine, = 1/2 setier)</t>
  </si>
  <si>
    <t>Cens en avoine (emine, =1/2 setier)</t>
  </si>
  <si>
    <t>Fevrier</t>
  </si>
  <si>
    <t>ut alii mensi dicti mansi</t>
  </si>
  <si>
    <t>Loco et territorio de Paulhac</t>
  </si>
  <si>
    <t>Petro filio Poncii de Paulhac</t>
  </si>
  <si>
    <t>Andree de Jalibertis</t>
  </si>
  <si>
    <t>Liberis Johanis Dalencini de Paulhac</t>
  </si>
  <si>
    <t>Filiul Jacobus de Sollemnac</t>
  </si>
  <si>
    <t>Pro liberis</t>
  </si>
  <si>
    <t>Territorio de Sollemnhac</t>
  </si>
  <si>
    <t>Hugonetus</t>
  </si>
  <si>
    <t>Sitam apud Paulhac</t>
  </si>
  <si>
    <t>territorio de Masalibrant</t>
  </si>
  <si>
    <t>Territorio de Bonofonte</t>
  </si>
  <si>
    <t>Terra del Mont</t>
  </si>
  <si>
    <t>Pasturali</t>
  </si>
  <si>
    <t>Territorio De Paulhac</t>
  </si>
  <si>
    <t>Dont (voir détails sur redevances)</t>
  </si>
  <si>
    <t>Devesset</t>
  </si>
  <si>
    <t>Domos</t>
  </si>
  <si>
    <t>Talha annua</t>
  </si>
  <si>
    <t>Fratre Johanne Meruli</t>
  </si>
  <si>
    <t>Heustachio de quinteato</t>
  </si>
  <si>
    <t>Petia de Gatinho</t>
  </si>
  <si>
    <t>Aquisit ab heredibus Johanis Valentini de Paulhac</t>
  </si>
  <si>
    <t>Aquisivit a Johanne Valentini</t>
  </si>
  <si>
    <t>Prato + petia</t>
  </si>
  <si>
    <t xml:space="preserve">Pigassii </t>
  </si>
  <si>
    <t>Del Mundo Sancti Martini</t>
  </si>
  <si>
    <r>
      <t xml:space="preserve">Femme + fils Guillermi de Mundo </t>
    </r>
    <r>
      <rPr>
        <sz val="11"/>
        <color rgb="FF00B050"/>
        <rFont val="Calibri"/>
        <family val="2"/>
        <scheme val="minor"/>
      </rPr>
      <t>per</t>
    </r>
    <r>
      <rPr>
        <sz val="11"/>
        <color theme="1"/>
        <rFont val="Calibri"/>
        <family val="2"/>
        <scheme val="minor"/>
      </rPr>
      <t xml:space="preserve"> Sancti Martini de Tensano</t>
    </r>
  </si>
  <si>
    <t>Loco et territorio loci de Mundo</t>
  </si>
  <si>
    <t>Locus de Mundo</t>
  </si>
  <si>
    <t>Teritorio Mansi Corter</t>
  </si>
  <si>
    <t>Terra claustre de Tensano</t>
  </si>
  <si>
    <t>Terra homium de Mendigalas</t>
  </si>
  <si>
    <t>Unitenti de Romidras</t>
  </si>
  <si>
    <t>Jacobo filio Johanis Malhorii</t>
  </si>
  <si>
    <t>Berlhonis</t>
  </si>
  <si>
    <t>Frères</t>
  </si>
  <si>
    <t>Apud Masalibrant</t>
  </si>
  <si>
    <t>Loco, manso et territorio de Masalibrant</t>
  </si>
  <si>
    <t>Locus de Masalibrant</t>
  </si>
  <si>
    <t>Domus Devesseti</t>
  </si>
  <si>
    <t>Egidio Blachonis</t>
  </si>
  <si>
    <t>Johane Berlho</t>
  </si>
  <si>
    <t>Petro Mola</t>
  </si>
  <si>
    <t>Johanis</t>
  </si>
  <si>
    <t>Berlhos</t>
  </si>
  <si>
    <t>Filius Armandeti Berlhos condam</t>
  </si>
  <si>
    <t>In manso de Masalibrant</t>
  </si>
  <si>
    <t>Loco et territorio de Masalibrant</t>
  </si>
  <si>
    <t>Domino Johane Armandi presbitero</t>
  </si>
  <si>
    <t>Bernardo de Ruppe clerico</t>
  </si>
  <si>
    <t>Petro de Bonafonte</t>
  </si>
  <si>
    <t>Nomine</t>
  </si>
  <si>
    <t>Uxor Johanis Valentis de Paulhac condam</t>
  </si>
  <si>
    <t>Nomine Symunde et Martete eius filiarum</t>
  </si>
  <si>
    <t>Filius Poncii de Paulhac</t>
  </si>
  <si>
    <t>Nomine Laurencii eius fratris</t>
  </si>
  <si>
    <t>Nomine Laurenti Berlhonis et Martini Berlonis eius fratrini</t>
  </si>
  <si>
    <t>Filius Johanis Berlhonis condam</t>
  </si>
  <si>
    <t>Nomine Johanete uxoris sue + Nomine Johanis et Mathei filiorum Guillermi de Mundo per sancti Martini de Tensano condam</t>
  </si>
  <si>
    <t>Sitas apud Masalibrant</t>
  </si>
  <si>
    <r>
      <t xml:space="preserve">Territorio de </t>
    </r>
    <r>
      <rPr>
        <sz val="11"/>
        <rFont val="Calibri"/>
        <family val="2"/>
        <scheme val="minor"/>
      </rPr>
      <t>Bon</t>
    </r>
    <r>
      <rPr>
        <sz val="11"/>
        <color theme="1"/>
        <rFont val="Calibri"/>
        <family val="2"/>
        <scheme val="minor"/>
      </rPr>
      <t>ofonte</t>
    </r>
  </si>
  <si>
    <t>Territorium de Masalibrant</t>
  </si>
  <si>
    <t>Territorio del Masel Girart et de Seletis</t>
  </si>
  <si>
    <t>Territorio de Masdelone</t>
  </si>
  <si>
    <t>Territorio de Lasruschas</t>
  </si>
  <si>
    <t>De juridictine et senhoria</t>
  </si>
  <si>
    <t>Die Martis post festum Beati Martini Yemalis</t>
  </si>
  <si>
    <t>Johane de Craseto</t>
  </si>
  <si>
    <t>Guillermo de Craseto (son fils)</t>
  </si>
  <si>
    <t>Perruchos</t>
  </si>
  <si>
    <t>Filius Johanis Mola de Masalibrant condam</t>
  </si>
  <si>
    <t>Loco et territorio de Masalibrant et de LasRuschas</t>
  </si>
  <si>
    <r>
      <t xml:space="preserve">Cens en avoine (en </t>
    </r>
    <r>
      <rPr>
        <sz val="11"/>
        <rFont val="Calibri"/>
        <family val="2"/>
        <scheme val="minor"/>
      </rPr>
      <t>Meytencus</t>
    </r>
    <r>
      <rPr>
        <sz val="11"/>
        <color theme="1"/>
        <rFont val="Calibri"/>
        <family val="2"/>
        <scheme val="minor"/>
      </rPr>
      <t>, Mesure de Tence)</t>
    </r>
  </si>
  <si>
    <t>Cense en seigle (en Meytencus, Mesure de Tence)</t>
  </si>
  <si>
    <t>Castri seu domus Devesseti</t>
  </si>
  <si>
    <t>Petro de Casalibus curato Devesseti</t>
  </si>
  <si>
    <t>Petro Porronis</t>
  </si>
  <si>
    <t>Venire ad comi et critu castri Devessti cum armis</t>
  </si>
  <si>
    <t>Filius emansipatus Durandi Albi Del Mastortet</t>
  </si>
  <si>
    <t>Mastortet</t>
  </si>
  <si>
    <t>Domos tenlanhas</t>
  </si>
  <si>
    <t>Sitas in loco Del Mastortet parochie de Tensano aniciensis dyocesis</t>
  </si>
  <si>
    <t>Carrerra publica Del Mastortet</t>
  </si>
  <si>
    <t>Domo tenlanha Jacobi Albi de Mastortet</t>
  </si>
  <si>
    <t>Terra domini Aniciensis episcopi</t>
  </si>
  <si>
    <t>Terra Jacobi Albi de Mastorte</t>
  </si>
  <si>
    <t>Sita in territorio vacato de Las Serors</t>
  </si>
  <si>
    <t>Terra nobilis Guicharde de La Valeta domicelli</t>
  </si>
  <si>
    <t>Petia quam tenet a domino eniciensis eipscopo</t>
  </si>
  <si>
    <r>
      <t xml:space="preserve">Petie terre Peyruchonis </t>
    </r>
    <r>
      <rPr>
        <sz val="11"/>
        <color theme="9"/>
        <rFont val="Calibri"/>
        <family val="2"/>
        <scheme val="minor"/>
      </rPr>
      <t>Heraucerii</t>
    </r>
  </si>
  <si>
    <t>Petia Bertrand de Arbere</t>
  </si>
  <si>
    <t>Prata Johanis de Arbore</t>
  </si>
  <si>
    <t>Petia Johanis de Arbore</t>
  </si>
  <si>
    <t>Nemore de Sollemniaco</t>
  </si>
  <si>
    <t>In terris vulgariter appellatas Laspineas existentia</t>
  </si>
  <si>
    <t>Suos domos tenlanhas</t>
  </si>
  <si>
    <t>Sua petia vocata de Las Nantas</t>
  </si>
  <si>
    <t>Calmam</t>
  </si>
  <si>
    <t>Terra prioratus de Tensano</t>
  </si>
  <si>
    <t>Sitam apud Lo Mastertet</t>
  </si>
  <si>
    <t>Aquisivit a Blanchia Lutarda miliere-licgia dicti domini preceptoris</t>
  </si>
  <si>
    <t>Terre petia Durandi Albi</t>
  </si>
  <si>
    <t>Patile Durandi Albi</t>
  </si>
  <si>
    <t>Quod tenet a dicto domino preceptore</t>
  </si>
  <si>
    <t>Domum suum sitam apud Lo Mastertet</t>
  </si>
  <si>
    <t>Terra sua</t>
  </si>
  <si>
    <t>Via qua itur Del Mastortet versus nemus Malansent</t>
  </si>
  <si>
    <t>Situm in territrio loci Del Mastortet</t>
  </si>
  <si>
    <t>Patile</t>
  </si>
  <si>
    <t>Nemore Johanis de Arlore</t>
  </si>
  <si>
    <t>Nemore suum</t>
  </si>
  <si>
    <t>Terra Petri Lhanterii</t>
  </si>
  <si>
    <t>Prato Jacobi Albi</t>
  </si>
  <si>
    <t>Prato Durandi Albi eius patris</t>
  </si>
  <si>
    <t>Quod tenet a domino priorem de Tensano</t>
  </si>
  <si>
    <t>Petia terre Johanis de Arbore</t>
  </si>
  <si>
    <t>Alia petia Johanis de Arbore</t>
  </si>
  <si>
    <t>Sitam in territorio Del Mastorter</t>
  </si>
  <si>
    <t>Via qua itur Del Mastorter versus Mendigolas</t>
  </si>
  <si>
    <t>Via que itur Del Mastortet versus Lagarda</t>
  </si>
  <si>
    <t>Petia Jacobi Albi De Mastortet</t>
  </si>
  <si>
    <t>Petiam</t>
  </si>
  <si>
    <t>Sitam in territorio de la Garda</t>
  </si>
  <si>
    <t>Termino de la Coasta</t>
  </si>
  <si>
    <t>Quam tenet a domino aniciensis episcopi seu dicti Durandi patris sui</t>
  </si>
  <si>
    <t>Carrera publica del Mastortet</t>
  </si>
  <si>
    <t>Prato Bertande de Arbore</t>
  </si>
  <si>
    <t>Orto Jacobi Albi</t>
  </si>
  <si>
    <t>Ortis Joganis et Girandi de Arbore</t>
  </si>
  <si>
    <t>Terra Martini de Arbore</t>
  </si>
  <si>
    <t>Terra Johanis Lhanterii</t>
  </si>
  <si>
    <t>Petias Johanis de Albor'</t>
  </si>
  <si>
    <t>Terra Jacobi Albi</t>
  </si>
  <si>
    <t>Nemore Stephani Lanterii</t>
  </si>
  <si>
    <t>Sitam subtus viam quod vennit Del Mastortet et vadit versus Mendigolas</t>
  </si>
  <si>
    <t>Petia de La Clauza Durandi Albi</t>
  </si>
  <si>
    <t>Nemore Johanis de Arbore</t>
  </si>
  <si>
    <t>Situm in territorio Del Mastortet</t>
  </si>
  <si>
    <t>Nemore Girandi de Arbore</t>
  </si>
  <si>
    <t>Hospicium</t>
  </si>
  <si>
    <t>Situm in loco del Mastortet</t>
  </si>
  <si>
    <t>Domo Bertrandi de Arbore</t>
  </si>
  <si>
    <t>Loco et territorio de Mastortet</t>
  </si>
  <si>
    <t>Dopnino de Las Ruschas</t>
  </si>
  <si>
    <t>Petro de Las Ruschas</t>
  </si>
  <si>
    <t>Michaele et Valentino de Las Ruschas</t>
  </si>
  <si>
    <t>Dompninus</t>
  </si>
  <si>
    <t>Las Ruschas</t>
  </si>
  <si>
    <t>Sua heredidate</t>
  </si>
  <si>
    <t>Terra hominium de Rivo</t>
  </si>
  <si>
    <t>Quas aquisivit a Michaele Girardi</t>
  </si>
  <si>
    <t>2 Petiae</t>
  </si>
  <si>
    <t>Petiae</t>
  </si>
  <si>
    <t>31 éléments</t>
  </si>
  <si>
    <t>Quam aquisivit a Michaele Garunii de Masalibrant</t>
  </si>
  <si>
    <t>Pasturale</t>
  </si>
  <si>
    <t>Quod aquisivit a Michaele Garunii de Masalibrant</t>
  </si>
  <si>
    <t>Situm est in territorio de Ruschas</t>
  </si>
  <si>
    <t>3 Petia + Pasturale</t>
  </si>
  <si>
    <t>Petro Girardi de Masalibrant</t>
  </si>
  <si>
    <t>Michaele Girardi de Masalibrant</t>
  </si>
  <si>
    <t>Loco et territorio de Las Ruschas</t>
  </si>
  <si>
    <t>Pro hiis que hec et tenit in loco de Lasruschas</t>
  </si>
  <si>
    <t>Quod aquisivit a Michaele Berlha</t>
  </si>
  <si>
    <r>
      <t xml:space="preserve">Cense en seigle (en </t>
    </r>
    <r>
      <rPr>
        <sz val="11"/>
        <rFont val="Calibri"/>
        <family val="2"/>
        <scheme val="minor"/>
      </rPr>
      <t>Meytencus</t>
    </r>
    <r>
      <rPr>
        <sz val="11"/>
        <color theme="1"/>
        <rFont val="Calibri"/>
        <family val="2"/>
        <scheme val="minor"/>
      </rPr>
      <t>, Mesure de Tence)</t>
    </r>
  </si>
  <si>
    <r>
      <t xml:space="preserve">Cens en avoine (en </t>
    </r>
    <r>
      <rPr>
        <sz val="11"/>
        <rFont val="Calibri"/>
        <family val="2"/>
        <scheme val="minor"/>
      </rPr>
      <t>Meytencus</t>
    </r>
    <r>
      <rPr>
        <sz val="11"/>
        <color theme="1"/>
        <rFont val="Calibri"/>
        <family val="2"/>
        <scheme val="minor"/>
      </rPr>
      <t>, mesure de Tence)</t>
    </r>
  </si>
  <si>
    <t>Petronille eius uxoris</t>
  </si>
  <si>
    <t>De senhoria domino et juridictione castri Devesseti</t>
  </si>
  <si>
    <t>Sitam apud Lasruschas</t>
  </si>
  <si>
    <t>Girandus Girandi de Pulinaco</t>
  </si>
  <si>
    <t>Sub via qua itur del Mastortet versus Mundum</t>
  </si>
  <si>
    <t>Filius Johanis de Lasruschas condam</t>
  </si>
  <si>
    <t>Pro suis sororibus et fratribus</t>
  </si>
  <si>
    <t>Frères et sœurs</t>
  </si>
  <si>
    <t>Que aquisivit a Michaele de Lasruschas</t>
  </si>
  <si>
    <t>Cens en seigle (en cartalis)</t>
  </si>
  <si>
    <t>De la Pinea</t>
  </si>
  <si>
    <t>Prato et petia</t>
  </si>
  <si>
    <t>De Larialha</t>
  </si>
  <si>
    <t>Dens Bayilh</t>
  </si>
  <si>
    <t>Amplius partem suam cuiusdam calme</t>
  </si>
  <si>
    <t>De Coray</t>
  </si>
  <si>
    <t>Calme</t>
  </si>
  <si>
    <t>Del Baylh</t>
  </si>
  <si>
    <t>Parte calme</t>
  </si>
  <si>
    <t>del Rochaynl</t>
  </si>
  <si>
    <t>del Rochaynli</t>
  </si>
  <si>
    <t>Assensamento</t>
  </si>
  <si>
    <t>Las Chalmassas</t>
  </si>
  <si>
    <t>Podio Marci</t>
  </si>
  <si>
    <t>Terra cartinam</t>
  </si>
  <si>
    <t>Dens Potetz</t>
  </si>
  <si>
    <t>Prati Soleyra</t>
  </si>
  <si>
    <t>Unam seytoratam prati</t>
  </si>
  <si>
    <t>de Chalninaal</t>
  </si>
  <si>
    <t>Petia</t>
  </si>
  <si>
    <t xml:space="preserve"> de Gatinho</t>
  </si>
  <si>
    <t>Terras</t>
  </si>
  <si>
    <t>Laspineas</t>
  </si>
  <si>
    <t>Durandi Albi</t>
  </si>
  <si>
    <t>Lestrita</t>
  </si>
  <si>
    <t>Terram</t>
  </si>
  <si>
    <t>Peroteriras</t>
  </si>
  <si>
    <t>Los Praals</t>
  </si>
  <si>
    <t>Las Nantas</t>
  </si>
  <si>
    <t>De Lestralhas</t>
  </si>
  <si>
    <t>Las Pinetas</t>
  </si>
  <si>
    <t>De Lestraa</t>
  </si>
  <si>
    <t>Sotena</t>
  </si>
  <si>
    <t>Durandi Albi eius patris</t>
  </si>
  <si>
    <t>De Lafuantas</t>
  </si>
  <si>
    <t>Del Olot</t>
  </si>
  <si>
    <t>Del Forii</t>
  </si>
  <si>
    <t>Sultus Arbore</t>
  </si>
  <si>
    <t>La Peiroza</t>
  </si>
  <si>
    <t>Dens Pinatens</t>
  </si>
  <si>
    <t>De Sucoo Armandi</t>
  </si>
  <si>
    <t>De Las Pinetas</t>
  </si>
  <si>
    <t>Del Cros</t>
  </si>
  <si>
    <t>Labraressas</t>
  </si>
  <si>
    <t>Labraressa</t>
  </si>
  <si>
    <t>de Lasruschas</t>
  </si>
  <si>
    <t>Territorio del Mazel Girart</t>
  </si>
  <si>
    <t>Dote sua</t>
  </si>
  <si>
    <t>De juridictione castri Devesseti</t>
  </si>
  <si>
    <t>Matheo Morelli Ruppe Paula</t>
  </si>
  <si>
    <t>Petrus Porronis</t>
  </si>
  <si>
    <t>Dompnino de Lasruschas</t>
  </si>
  <si>
    <t>Petro de Casalibus</t>
  </si>
  <si>
    <t>Sitas apud Lasruschas</t>
  </si>
  <si>
    <t>Nomine Michaelis eius fratre ut ambo asserebant</t>
  </si>
  <si>
    <t>Prato et petia + prato + nomine eius fratre</t>
  </si>
  <si>
    <t>Possessiones quas tenet nomine uxoris sue in loco et territorio de Masalibrant</t>
  </si>
  <si>
    <t>Possessiones eius uxoris</t>
  </si>
  <si>
    <t>Domo</t>
  </si>
  <si>
    <t>Sitam apud Masalibrant</t>
  </si>
  <si>
    <t>Die Jonis post festum iunentionis sancte crucis</t>
  </si>
  <si>
    <t>Pro et nomine Aguetis eius sororis</t>
  </si>
  <si>
    <t>Sœur</t>
  </si>
  <si>
    <t>Talhabilas</t>
  </si>
  <si>
    <t>Casale</t>
  </si>
  <si>
    <t>Situm apud Masalibrant</t>
  </si>
  <si>
    <t>Potne</t>
  </si>
  <si>
    <t>De juridictione domus Devesseti</t>
  </si>
  <si>
    <t>Ville Neuve de Devesset, dans la maison des enfants Morelli</t>
  </si>
  <si>
    <t>Blancha</t>
  </si>
  <si>
    <t>Marteta</t>
  </si>
  <si>
    <t>Filia Petri Pastre de Msalibrant condam</t>
  </si>
  <si>
    <t>Avec animaux</t>
  </si>
  <si>
    <t>Metheo de Tornemantel</t>
  </si>
  <si>
    <r>
      <t xml:space="preserve">Petro de la Fauria </t>
    </r>
    <r>
      <rPr>
        <sz val="11"/>
        <color rgb="FFFF0000"/>
        <rFont val="Calibri"/>
        <family val="2"/>
        <scheme val="minor"/>
      </rPr>
      <t>al' porronis</t>
    </r>
  </si>
  <si>
    <r>
      <t xml:space="preserve">Johane de Mela </t>
    </r>
    <r>
      <rPr>
        <sz val="11"/>
        <color rgb="FFFF0000"/>
        <rFont val="Calibri"/>
        <family val="2"/>
        <scheme val="minor"/>
      </rPr>
      <t>al' ros</t>
    </r>
  </si>
  <si>
    <t>Chanclausa</t>
  </si>
  <si>
    <t>Sitam apud Chanclausa</t>
  </si>
  <si>
    <t>Terra ecclesie de Chanclausa</t>
  </si>
  <si>
    <t>Orto suo</t>
  </si>
  <si>
    <t>Dens Sauretz</t>
  </si>
  <si>
    <t>Pratis curati de Chanclausa</t>
  </si>
  <si>
    <t>Quod pratum tenent dicti lisermenti a dicta domo</t>
  </si>
  <si>
    <t>De Bonofonte</t>
  </si>
  <si>
    <t>Girardi</t>
  </si>
  <si>
    <t>Faureti</t>
  </si>
  <si>
    <t>Aucelli</t>
  </si>
  <si>
    <t>Garnerii</t>
  </si>
  <si>
    <t>Marge illisible</t>
  </si>
  <si>
    <t>Filius Guigone Aucelli</t>
  </si>
  <si>
    <t>Pro eius uxoris</t>
  </si>
  <si>
    <t>Terre petiam</t>
  </si>
  <si>
    <t>Prato Jacobi de Molendino</t>
  </si>
  <si>
    <t>Terra Jacobi Pelacueir</t>
  </si>
  <si>
    <t>Terra de Clanclausa</t>
  </si>
  <si>
    <t>Petronille eiux uxoris</t>
  </si>
  <si>
    <t>Orti, prata, compos, pascua et alia possessiones</t>
  </si>
  <si>
    <t>Eius Uxoris</t>
  </si>
  <si>
    <t>Cens en froment (en Meytencus)</t>
  </si>
  <si>
    <t>Del Clauste</t>
  </si>
  <si>
    <t>Petia de Laneiria</t>
  </si>
  <si>
    <t>Terre petia</t>
  </si>
  <si>
    <t>Filius Vitalis de Ponte</t>
  </si>
  <si>
    <t>Indication sur page</t>
  </si>
  <si>
    <t>Apud Chanclausa</t>
  </si>
  <si>
    <t>Del Clauzet</t>
  </si>
  <si>
    <t>Petia de la gleysa de Chanclausa</t>
  </si>
  <si>
    <t>Campo lavenia ecclesia de Chanclausa</t>
  </si>
  <si>
    <t>Esclausa malendium de Chanclausa</t>
  </si>
  <si>
    <t>Pasturale Johanis Ansel</t>
  </si>
  <si>
    <t>Del Claus</t>
  </si>
  <si>
    <t>Prato del Clauset</t>
  </si>
  <si>
    <t>Prato del Clauset qui fuit de Chanclausa olim</t>
  </si>
  <si>
    <t>A Chanclauso olim</t>
  </si>
  <si>
    <t>Terre petia + pasturale</t>
  </si>
  <si>
    <t>Casale + ortum</t>
  </si>
  <si>
    <t>Domum + prata + pasturalia</t>
  </si>
  <si>
    <t>Février</t>
  </si>
  <si>
    <t>Apud Chanclausa in manso del Brolerit</t>
  </si>
  <si>
    <t>Prato Brolerit Jacobi del Moli et de Boyro</t>
  </si>
  <si>
    <t>Itur de Font Moreta versis Aniciensis</t>
  </si>
  <si>
    <t>Prato Guillermi Boyrois</t>
  </si>
  <si>
    <t>Pratus Johanis Pelatim</t>
  </si>
  <si>
    <t>Gatinho</t>
  </si>
  <si>
    <t>Chaumal</t>
  </si>
  <si>
    <t>Talline</t>
  </si>
  <si>
    <t>Una stiterata prati vocati Sobena</t>
  </si>
  <si>
    <t>De Chalminaal</t>
  </si>
  <si>
    <t>Petiam vocatam</t>
  </si>
  <si>
    <t>Lasruschas</t>
  </si>
  <si>
    <t xml:space="preserve">Prato et petia </t>
  </si>
  <si>
    <t xml:space="preserve">Prato </t>
  </si>
  <si>
    <t>Del Pontilhac</t>
  </si>
  <si>
    <t>Possessiones</t>
  </si>
  <si>
    <t>Eius uxoris Petronille</t>
  </si>
  <si>
    <t>Lavata bealis</t>
  </si>
  <si>
    <t>Cum quo adaquant prata veteris Armati</t>
  </si>
  <si>
    <t>Calma vocate Dens Bayilh</t>
  </si>
  <si>
    <t>Quod pratum aquisivit a Jacobo Pelacur</t>
  </si>
  <si>
    <t>Jacobo de Molendino</t>
  </si>
  <si>
    <t>Alisa de Ponte</t>
  </si>
  <si>
    <t>Nomine suis iberorum</t>
  </si>
  <si>
    <t>Apud Chanclausa in prato de Clauseto</t>
  </si>
  <si>
    <t>Prato del Claustet</t>
  </si>
  <si>
    <t>Circumcirca</t>
  </si>
  <si>
    <t>Pratum + Domum Aliza de Ponte</t>
  </si>
  <si>
    <t>Guillermo de Ponte</t>
  </si>
  <si>
    <t>Successoribus esse debent homine licgii domus Devesseti</t>
  </si>
  <si>
    <t>Payé par Guillermo de Ponte</t>
  </si>
  <si>
    <t>Filius Martini de Molendino de Chanclausa</t>
  </si>
  <si>
    <t>Prope Chalmariais</t>
  </si>
  <si>
    <t>Del Reondet</t>
  </si>
  <si>
    <t>Prato del Brolent</t>
  </si>
  <si>
    <t>Del Brolhono</t>
  </si>
  <si>
    <t>Petia suam del Reondet</t>
  </si>
  <si>
    <t>Prato Del Claus</t>
  </si>
  <si>
    <t>Prato Guillermi Beyronis</t>
  </si>
  <si>
    <t>Cum Sanhatz in medio</t>
  </si>
  <si>
    <t>Del Pomeir sive Del Champ</t>
  </si>
  <si>
    <t>Via qua itur de initere publico versus ecclesiam de Chanclauza</t>
  </si>
  <si>
    <t>Bonofonte</t>
  </si>
  <si>
    <t>Petia Jacobi Chanclauzo</t>
  </si>
  <si>
    <t>Petia terre Guillermi Boyro</t>
  </si>
  <si>
    <t>Del Pomen</t>
  </si>
  <si>
    <t>Prato del Brolhet Johanis Pelacuer quadam via media</t>
  </si>
  <si>
    <t>Prato de Ladaniel de Pelacuer</t>
  </si>
  <si>
    <t>Prato Jacobi Chanclausa</t>
  </si>
  <si>
    <t>Orto de Bayro</t>
  </si>
  <si>
    <t>De Ladaniela</t>
  </si>
  <si>
    <t>Pasturalibus de Pelacuer</t>
  </si>
  <si>
    <t>Et una sanatz</t>
  </si>
  <si>
    <t>Pasturale Dens Sauretz</t>
  </si>
  <si>
    <t>De Turacul</t>
  </si>
  <si>
    <t>Esclausam</t>
  </si>
  <si>
    <t>4 petia + 1 ortum + 2 pasturale 2 prata + 1 esclausam</t>
  </si>
  <si>
    <t>Hospicii</t>
  </si>
  <si>
    <t>Esclausae</t>
  </si>
  <si>
    <t>Cens en froment (en cartalis)</t>
  </si>
  <si>
    <t>Eustachio de Quinteo clericus de Malagayta</t>
  </si>
  <si>
    <t>Johane de Malagayta</t>
  </si>
  <si>
    <t>De Sapeto</t>
  </si>
  <si>
    <t>Situs in territorio de Chanclausa</t>
  </si>
  <si>
    <t>Sitas apud Lo Sape</t>
  </si>
  <si>
    <t>Loco et territorio Del Sape</t>
  </si>
  <si>
    <t>Passacgio de Ruppe Corba</t>
  </si>
  <si>
    <t>Itinere quo itur de Vaterena versus Sanctum Evodium</t>
  </si>
  <si>
    <t>Terra de Aulanherio</t>
  </si>
  <si>
    <t>Terra de Maseto</t>
  </si>
  <si>
    <t>Domos + possessiones</t>
  </si>
  <si>
    <t>Domus + possessiones + terra</t>
  </si>
  <si>
    <t>Domum + possessiones</t>
  </si>
  <si>
    <r>
      <t xml:space="preserve">De juridictione et </t>
    </r>
    <r>
      <rPr>
        <sz val="11"/>
        <rFont val="Calibri"/>
        <family val="2"/>
        <scheme val="minor"/>
      </rPr>
      <t>dominatione</t>
    </r>
    <r>
      <rPr>
        <sz val="11"/>
        <color theme="1"/>
        <rFont val="Calibri"/>
        <family val="2"/>
        <scheme val="minor"/>
      </rPr>
      <t xml:space="preserve"> castri seu domus Devesseti</t>
    </r>
  </si>
  <si>
    <r>
      <t xml:space="preserve">De juridictione et </t>
    </r>
    <r>
      <rPr>
        <sz val="11"/>
        <rFont val="Calibri"/>
        <family val="2"/>
        <scheme val="minor"/>
      </rPr>
      <t>dominatione</t>
    </r>
    <r>
      <rPr>
        <sz val="11"/>
        <color theme="1"/>
        <rFont val="Calibri"/>
        <family val="2"/>
        <scheme val="minor"/>
      </rPr>
      <t xml:space="preserve"> senhorio castri Devesseti</t>
    </r>
  </si>
  <si>
    <t>Decima ominum terrarum</t>
  </si>
  <si>
    <t>Quod habuerunt a vocato Chanclausa olim</t>
  </si>
  <si>
    <t>Quas tenet nomine uxoris sue</t>
  </si>
  <si>
    <t>Sitam apud Lo Sape</t>
  </si>
  <si>
    <t>Territorio Del Sape</t>
  </si>
  <si>
    <t>Via qui itur de Sancto Evodio versus Lavarena</t>
  </si>
  <si>
    <t>Itinere publico quo itur de Monte de Marz versus Anicium</t>
  </si>
  <si>
    <t>Itinere quo itur de Ponte Dorba versus Anicium</t>
  </si>
  <si>
    <t>Forme mansum del Sape</t>
  </si>
  <si>
    <t>Decima</t>
  </si>
  <si>
    <t>Parrochie Sancti Evodii Aniciensis Diocesis</t>
  </si>
  <si>
    <t>Homo-ligius, justitabilis et expletabilis</t>
  </si>
  <si>
    <t>Talhabilis ad omnimodas voluntatis et esse manoperabilis ad</t>
  </si>
  <si>
    <t>Cum bovus et animalinis</t>
  </si>
  <si>
    <t>Devessetum, in fomello dicto domus</t>
  </si>
  <si>
    <t>Fratre Guilermo Cinato dicte domus</t>
  </si>
  <si>
    <t>Vitale Decus Alinetus</t>
  </si>
  <si>
    <t>Guillermo Hereconi</t>
  </si>
  <si>
    <t>Témoin 4</t>
  </si>
  <si>
    <t>Petro Dans Peyerie</t>
  </si>
  <si>
    <t>Valligalate</t>
  </si>
  <si>
    <t>Témoin 5</t>
  </si>
  <si>
    <t>Metheus Sleyerpola</t>
  </si>
  <si>
    <t>Témoin 6</t>
  </si>
  <si>
    <t>Manti' Ruppe Paule</t>
  </si>
  <si>
    <t>Nicholay de Gardallhato</t>
  </si>
  <si>
    <t>Samuel de Sapeto</t>
  </si>
  <si>
    <t>Pro ac nomine Petri Blanchardu de Sapeto eius nepotis</t>
  </si>
  <si>
    <t>Neveu</t>
  </si>
  <si>
    <t>Via qua itur del Pont de Marcii versus Anicium</t>
  </si>
  <si>
    <t>Itinere publico per quod itur de Sancto Evodio versus La Verena</t>
  </si>
  <si>
    <t>Territorio de Aulanherio</t>
  </si>
  <si>
    <t>Cens en seigle (en emine)</t>
  </si>
  <si>
    <t>Guillermo Blacha domicelli</t>
  </si>
  <si>
    <t>Johane Chambo</t>
  </si>
  <si>
    <t>Petro Malpinha</t>
  </si>
  <si>
    <t>Pas de mesure de céréale</t>
  </si>
  <si>
    <t>Medietates terras et possessiones superius (781)</t>
  </si>
  <si>
    <t>Andre Titio de Tensanus</t>
  </si>
  <si>
    <t>Gitale de Chalmertis</t>
  </si>
  <si>
    <t>Petri Jans</t>
  </si>
  <si>
    <t>Peyriros Matheo Gleyerpola</t>
  </si>
  <si>
    <t>Petri Blanchard nepoti dicti Petri Samuele</t>
  </si>
  <si>
    <t>Guillermus Late</t>
  </si>
  <si>
    <t>Brossardi de Font Moreta</t>
  </si>
  <si>
    <t>Nomine uxoris sue</t>
  </si>
  <si>
    <t>Del Clauset</t>
  </si>
  <si>
    <t>Situm apud Chanclausa</t>
  </si>
  <si>
    <t>Terra Vitalis de Ponte</t>
  </si>
  <si>
    <t>Prato Johanis de Ponte sive Borola</t>
  </si>
  <si>
    <t>Devesset, sub estris</t>
  </si>
  <si>
    <t>Magistro Johane Maynerii</t>
  </si>
  <si>
    <t>Fratre Petro de Casalibus</t>
  </si>
  <si>
    <t>Petro Manelha de Font Morera</t>
  </si>
  <si>
    <t>Chanclausus Dorba</t>
  </si>
  <si>
    <t>Et 591</t>
  </si>
  <si>
    <t>De la Versana</t>
  </si>
  <si>
    <t>Petia Jacobi Pelatiner</t>
  </si>
  <si>
    <t>Pasturale Dens Pastoros</t>
  </si>
  <si>
    <t>De Bono Fonte</t>
  </si>
  <si>
    <t>Petia Jacobi Del Moli</t>
  </si>
  <si>
    <t>Petia vocati lo Champ Lavenia</t>
  </si>
  <si>
    <t>Prato Del Clauset</t>
  </si>
  <si>
    <t>De Ciracul</t>
  </si>
  <si>
    <t>Petia Dens Pastoros</t>
  </si>
  <si>
    <t>De Lamela</t>
  </si>
  <si>
    <t>Pratum de Lamela</t>
  </si>
  <si>
    <t>Prato Johanis Antelli</t>
  </si>
  <si>
    <t>Prato Johanis Pelacuer</t>
  </si>
  <si>
    <t>Petia vocati Bayro</t>
  </si>
  <si>
    <t>Pasturali dicti Bayronis</t>
  </si>
  <si>
    <t>Del Brolhent</t>
  </si>
  <si>
    <t>Prato Vitalis de Ponte</t>
  </si>
  <si>
    <t>Prato Molendino</t>
  </si>
  <si>
    <t>Terminum</t>
  </si>
  <si>
    <t>Domum de Borala</t>
  </si>
  <si>
    <t>Terminus</t>
  </si>
  <si>
    <t>4 Prata + 3 Petiae + 1 Pasturale + 1 Terminus</t>
  </si>
  <si>
    <t>Durando Matello</t>
  </si>
  <si>
    <t>Johane Sabaterii de Chambone</t>
  </si>
  <si>
    <t>Juin</t>
  </si>
  <si>
    <t>Chalvents de Mendigolis</t>
  </si>
  <si>
    <t>Petrus et Matheus</t>
  </si>
  <si>
    <t>Matheus habens autoritatem a dicto suo patre</t>
  </si>
  <si>
    <t>Père</t>
  </si>
  <si>
    <t>Situm in territorio de Mundo</t>
  </si>
  <si>
    <t>Nemore sue</t>
  </si>
  <si>
    <t>Terra illorum de Mundo</t>
  </si>
  <si>
    <t>Nemore illorum de Mundo</t>
  </si>
  <si>
    <t>Prato liberorum Guillermi De Mundo condam</t>
  </si>
  <si>
    <t>Terra mansi de Menfigolas</t>
  </si>
  <si>
    <t>Mundo</t>
  </si>
  <si>
    <t>1 Prata + 1 Pasturale + 1 Nemus</t>
  </si>
  <si>
    <t>Promisit esse fidelis tenementarius domus Devesseti</t>
  </si>
  <si>
    <t>Gregorio Ferrandi</t>
  </si>
  <si>
    <t>Egidus</t>
  </si>
  <si>
    <t>Situm in loco de Masalibrant</t>
  </si>
  <si>
    <t>Loco et territorio de Mundo</t>
  </si>
  <si>
    <t>Territorio de Paulac</t>
  </si>
  <si>
    <t>Teritorio de Bonofonte</t>
  </si>
  <si>
    <t>Territorio de Matello Girandi</t>
  </si>
  <si>
    <t>Promisit esse bonus et fidelis domini predicte</t>
  </si>
  <si>
    <t>Johane Ariberii de Sancto Agrippavio</t>
  </si>
  <si>
    <t>Petro Crosolem ordinis predicatorum</t>
  </si>
  <si>
    <t>Aucelli Dorba</t>
  </si>
  <si>
    <t>Parrochie de Chanclausa Aniciensis Diocesis</t>
  </si>
  <si>
    <t>Situm in territorio de Ladaniela</t>
  </si>
  <si>
    <t>Prato Jacobi de Chanclausonis</t>
  </si>
  <si>
    <t>Rivo Dorba</t>
  </si>
  <si>
    <t>Quod territorio est de juridictiones castri Devesseti</t>
  </si>
  <si>
    <t>Prato Jacobi Chanslauso</t>
  </si>
  <si>
    <t>Pasturali Jacobi Chanclauso</t>
  </si>
  <si>
    <t>Pasturali Johanis Percio</t>
  </si>
  <si>
    <t>Situm in manso de Ladaniela</t>
  </si>
  <si>
    <t>Pasturali Dans Pastoros</t>
  </si>
  <si>
    <t>Sanha Jacobi del Moli</t>
  </si>
  <si>
    <t>3 pratum</t>
  </si>
  <si>
    <t>Domum + ortum + possessiones</t>
  </si>
  <si>
    <t>Censum anuum seu canone</t>
  </si>
  <si>
    <t>Avec aquarum et curtibus</t>
  </si>
  <si>
    <t>Collonne Fourzitout</t>
  </si>
  <si>
    <t>Ville Neuve de Devesset, à côté de la maison de Johannis de Fonte</t>
  </si>
  <si>
    <t>Fratre Johanne Meruli ordinis Hospitalis</t>
  </si>
  <si>
    <t>Guillermo Passamar</t>
  </si>
  <si>
    <t>Johannis Chanclausonis</t>
  </si>
  <si>
    <t>Pastorali Dorba</t>
  </si>
  <si>
    <t>Petia Jacobi Chanclausois</t>
  </si>
  <si>
    <t>Sanha Peyruchonis del Chier</t>
  </si>
  <si>
    <t>Del Moli</t>
  </si>
  <si>
    <t>Prato del Moli</t>
  </si>
  <si>
    <t>Quaitur Derba versus ecclesiam de Chanclausa</t>
  </si>
  <si>
    <t>Petiam + Pasturale</t>
  </si>
  <si>
    <t>De omnimoda juridictione</t>
  </si>
  <si>
    <t>Promisit esse bonus tenementarius domus Devesseti</t>
  </si>
  <si>
    <t>Pelacuer Dorba</t>
  </si>
  <si>
    <t>Situm in territorio vocato de la Daniela</t>
  </si>
  <si>
    <t>Itinere publico per quod itur de Font Moreta versus Anicium</t>
  </si>
  <si>
    <t>Prato Guillermi Brayronis</t>
  </si>
  <si>
    <t>Prato Johannis de Ponte</t>
  </si>
  <si>
    <t>Prato de Las Pastotonas</t>
  </si>
  <si>
    <t>Lauversana</t>
  </si>
  <si>
    <t>Pra Brolhenc</t>
  </si>
  <si>
    <t>Pasturali Guillermi Bayronis</t>
  </si>
  <si>
    <t>Pasturali Jacobi de Molino</t>
  </si>
  <si>
    <t>2 Prati + 2 Petiae + 1 Pasturale</t>
  </si>
  <si>
    <t>Octobre</t>
  </si>
  <si>
    <t>Situm in territorio de Chanclausa</t>
  </si>
  <si>
    <t>Pratis Petri Saureti</t>
  </si>
  <si>
    <t>Prato Johannis Sermenti de Chanpanhac</t>
  </si>
  <si>
    <t>In territorio de Chanclausa</t>
  </si>
  <si>
    <t>Terra domini de Gobeto</t>
  </si>
  <si>
    <t>Prato curati de Chanclausa</t>
  </si>
  <si>
    <t>Prato Poncii Sermenti de Champanhac</t>
  </si>
  <si>
    <t>De juridictione castri seu domus Devesseti</t>
  </si>
  <si>
    <t>Michaele de Roveria</t>
  </si>
  <si>
    <t>Johanne Sabaterii de Chambone</t>
  </si>
  <si>
    <t>Johanne Blaosii</t>
  </si>
  <si>
    <t>Prato curati ecclesie de Chanclausa</t>
  </si>
  <si>
    <t>Prato Dens Sametz</t>
  </si>
  <si>
    <t>Promisit esse bonus et fidelis tenementarius domum Devesseti</t>
  </si>
  <si>
    <t>Devesset, infra fortalicam</t>
  </si>
  <si>
    <t>Riligiose viro domino Petro de Feudo presbitero</t>
  </si>
  <si>
    <t>Fratre Guillermo Elie ordinis Hospitalis</t>
  </si>
  <si>
    <r>
      <t xml:space="preserve">Petro de Ruppe </t>
    </r>
    <r>
      <rPr>
        <sz val="11"/>
        <color rgb="FFFF0000"/>
        <rFont val="Calibri"/>
        <family val="2"/>
        <scheme val="minor"/>
      </rPr>
      <t>al'</t>
    </r>
    <r>
      <rPr>
        <sz val="11"/>
        <color theme="1"/>
        <rFont val="Calibri"/>
        <family val="2"/>
        <scheme val="minor"/>
      </rPr>
      <t xml:space="preserve"> Malpinha</t>
    </r>
  </si>
  <si>
    <t>Prato Symonis de Peyro Lont</t>
  </si>
  <si>
    <t>Notaire public royal + notaire de la maison de Devesset (page 52)</t>
  </si>
  <si>
    <t>Die mercuri ante festum omnium sanctorum</t>
  </si>
  <si>
    <t>Lardayrol de Champahnac</t>
  </si>
  <si>
    <t>Situm in territorio de Chanclaus</t>
  </si>
  <si>
    <t>Prato Thome Sermenti de Champanhac</t>
  </si>
  <si>
    <t>Chanclausa, dans la maison de Johannis de Ponte sive Borola</t>
  </si>
  <si>
    <t>Petro Del Sapet</t>
  </si>
  <si>
    <r>
      <t xml:space="preserve">Matheo Morelli </t>
    </r>
    <r>
      <rPr>
        <sz val="11"/>
        <color rgb="FFFF0000"/>
        <rFont val="Calibri"/>
        <family val="2"/>
        <scheme val="minor"/>
      </rPr>
      <t>subus</t>
    </r>
    <r>
      <rPr>
        <sz val="11"/>
        <color theme="1"/>
        <rFont val="Calibri"/>
        <family val="2"/>
        <scheme val="minor"/>
      </rPr>
      <t xml:space="preserve"> de Ruppe Paula</t>
    </r>
  </si>
  <si>
    <r>
      <t xml:space="preserve">Jacobo Morelli </t>
    </r>
    <r>
      <rPr>
        <sz val="11"/>
        <color rgb="FFFF0000"/>
        <rFont val="Calibri"/>
        <family val="2"/>
        <scheme val="minor"/>
      </rPr>
      <t>subus</t>
    </r>
    <r>
      <rPr>
        <sz val="11"/>
        <color theme="1"/>
        <rFont val="Calibri"/>
        <family val="2"/>
        <scheme val="minor"/>
      </rPr>
      <t xml:space="preserve"> de Ruppe Paula</t>
    </r>
  </si>
  <si>
    <t>Parrochie de Chanclausa</t>
  </si>
  <si>
    <t>Laversana</t>
  </si>
  <si>
    <t>Petia Johannis Chanclausonis</t>
  </si>
  <si>
    <t>Terra Jacobi del Moli</t>
  </si>
  <si>
    <t>Prato Guillermi Bayronis</t>
  </si>
  <si>
    <t>Prato suo</t>
  </si>
  <si>
    <t>2 Prati + 1 terre petia + 1 Pasturale</t>
  </si>
  <si>
    <t>Guillometa</t>
  </si>
  <si>
    <t>Sama</t>
  </si>
  <si>
    <t>Pratis ecclesie de Chanclauza</t>
  </si>
  <si>
    <t>Pratis Dens Sermens de Champanhac</t>
  </si>
  <si>
    <t>Sanha Jacobi del Chier</t>
  </si>
  <si>
    <t>Via que venit de manso vocato Orba et vedit versus ecclesiam</t>
  </si>
  <si>
    <t>Pratum + Pasturale</t>
  </si>
  <si>
    <t>De juridictione et censima</t>
  </si>
  <si>
    <t>Novembre</t>
  </si>
  <si>
    <t>Socherii</t>
  </si>
  <si>
    <t>Johannes Socherii nomine Guillerme eius uxoris et ambo</t>
  </si>
  <si>
    <t>Loco et territorio de Podio Brunent</t>
  </si>
  <si>
    <t>Totum tenementum de Podio Brenent</t>
  </si>
  <si>
    <t>Exceptis pratis qui a dicta domo tenent Licharenas de Villo Lonie</t>
  </si>
  <si>
    <t>Aqua limonis</t>
  </si>
  <si>
    <r>
      <rPr>
        <sz val="11"/>
        <color rgb="FFFF0000"/>
        <rFont val="Calibri"/>
        <family val="2"/>
        <scheme val="minor"/>
      </rPr>
      <t>Uno</t>
    </r>
    <r>
      <rPr>
        <sz val="11"/>
        <color theme="1"/>
        <rFont val="Calibri"/>
        <family val="2"/>
        <scheme val="minor"/>
      </rPr>
      <t xml:space="preserve"> de Merdoc</t>
    </r>
  </si>
  <si>
    <t>Terra vocata de Podio del pont domini aniciensis episcopi</t>
  </si>
  <si>
    <t>Manso de Podio Brunent</t>
  </si>
  <si>
    <t>Prato paretas</t>
  </si>
  <si>
    <t>Pareta aquisito quod olim fuit de Chabrol de Sochenar</t>
  </si>
  <si>
    <t>Petro de Barias</t>
  </si>
  <si>
    <t>Guillermo filio Johannis de Crosto</t>
  </si>
  <si>
    <t>Filius Petrus Reha de Mais</t>
  </si>
  <si>
    <t>Décembre</t>
  </si>
  <si>
    <t>Filius Guillermus Boyronis de Chanclausa condam</t>
  </si>
  <si>
    <t>Nomine fratrum suorum</t>
  </si>
  <si>
    <t>Pratum suum</t>
  </si>
  <si>
    <t>Situm in territorio vocato de la Daniela, juxta Chanclausa</t>
  </si>
  <si>
    <t>Prato Jacobi Del Moli</t>
  </si>
  <si>
    <t>Pasturali Johannis Pelacuer</t>
  </si>
  <si>
    <t>Alio prato Jacobi Del Moli</t>
  </si>
  <si>
    <t>Alio prato Johannis Pelacuer</t>
  </si>
  <si>
    <t>Del Brolhac</t>
  </si>
  <si>
    <t>Situm in territorio de la Daniela</t>
  </si>
  <si>
    <t>Del Pomeir</t>
  </si>
  <si>
    <t>Petia Jacobi del Moli</t>
  </si>
  <si>
    <t>Petia Johannis Pelacuer</t>
  </si>
  <si>
    <t>Situm in territorio de Bonofonte</t>
  </si>
  <si>
    <t>3 Prata + 1 petia + 1 pasturale + 1 ortum</t>
  </si>
  <si>
    <t>Devesset, sub estra</t>
  </si>
  <si>
    <t>Poncio Meruli clerico</t>
  </si>
  <si>
    <t>Armando de la Pitandena</t>
  </si>
  <si>
    <t>Filii Johannis Blachonis de Masalibrant</t>
  </si>
  <si>
    <t>Terres, pratis et possessionibus</t>
  </si>
  <si>
    <t>Terris et prata</t>
  </si>
  <si>
    <t>Que fuerunt Petri Girardi condam</t>
  </si>
  <si>
    <t>Terris et possessionibus</t>
  </si>
  <si>
    <t>Quas aquisiverunt Martini Girardi condam</t>
  </si>
  <si>
    <t>Cens en avoine (en carteria)</t>
  </si>
  <si>
    <t>Terris</t>
  </si>
  <si>
    <t>Quod aquisiverunt de Aprila Blachona</t>
  </si>
  <si>
    <t xml:space="preserve">Quas aquisiverunt de Egidio Blachonis, Jacineti Blachonis et Johanete Blachonis </t>
  </si>
  <si>
    <t>Pro Pasturali de Borza Mantello</t>
  </si>
  <si>
    <t>Quod aquisiverunt de Luca Girardi</t>
  </si>
  <si>
    <r>
      <t xml:space="preserve">Situm in </t>
    </r>
    <r>
      <rPr>
        <sz val="11"/>
        <color rgb="FF00B050"/>
        <rFont val="Calibri"/>
        <family val="2"/>
        <scheme val="minor"/>
      </rPr>
      <t>peiere</t>
    </r>
    <r>
      <rPr>
        <sz val="11"/>
        <color theme="1"/>
        <rFont val="Calibri"/>
        <family val="2"/>
        <scheme val="minor"/>
      </rPr>
      <t xml:space="preserve"> calme vocate de Lespital</t>
    </r>
  </si>
  <si>
    <t>Terras et prate + terris et possessionibus + 2 terris + pasturale</t>
  </si>
  <si>
    <t>Territorio de Masalibrant</t>
  </si>
  <si>
    <t>Territorio de Matello Girardi</t>
  </si>
  <si>
    <t>Territorio de Lasruchas</t>
  </si>
  <si>
    <t>4 terris + prata + possessionibus + pasturale + possessiones</t>
  </si>
  <si>
    <t>De omnimoda juridictine et senhoria</t>
  </si>
  <si>
    <t>Devesset, dans la chambre de Frère Jean Meruli</t>
  </si>
  <si>
    <t>Andree de Jalibetas</t>
  </si>
  <si>
    <t>Johanne</t>
  </si>
  <si>
    <t>Mansalibrant</t>
  </si>
  <si>
    <t>Gallgalate</t>
  </si>
  <si>
    <t>Poncio de Ross'</t>
  </si>
  <si>
    <t>Poncio Fomeni</t>
  </si>
  <si>
    <t>Johanne Bapneta Sancti Agreppavii</t>
  </si>
  <si>
    <t>Répond au nom de Martin, Jean et Guichard (?) ses prédecesseurs et tous leurs biens</t>
  </si>
  <si>
    <t>Terra de Podio Brenent</t>
  </si>
  <si>
    <t>Guillermo La Famia</t>
  </si>
  <si>
    <t>Guigore de Pome de Sancti Agreppavii</t>
  </si>
  <si>
    <t>Nomine Petrus Mola eius fratre</t>
  </si>
  <si>
    <t>Filius Johannes de Ruppe</t>
  </si>
  <si>
    <t>Planchetas</t>
  </si>
  <si>
    <t>Grangias</t>
  </si>
  <si>
    <t>Sitas apud Planchetas</t>
  </si>
  <si>
    <t>Loco et territorio de Planchetis</t>
  </si>
  <si>
    <t>Tenementum</t>
  </si>
  <si>
    <t>Planchetis</t>
  </si>
  <si>
    <t>Tenementum de Pereno</t>
  </si>
  <si>
    <t>Loco de Peolhosas</t>
  </si>
  <si>
    <t>Tenementum de Chabanas</t>
  </si>
  <si>
    <t>Domos et grangias</t>
  </si>
  <si>
    <t>De Lala de la Bossoa</t>
  </si>
  <si>
    <t>Terrarii</t>
  </si>
  <si>
    <t>Terra de Bertos</t>
  </si>
  <si>
    <t>Terri et pasturali</t>
  </si>
  <si>
    <t>Cens en avoine (en emine)</t>
  </si>
  <si>
    <t>Beotmeschas</t>
  </si>
  <si>
    <t>Prata et pasturale</t>
  </si>
  <si>
    <t>In mandamento et de mandamento atque juridictione mero et mixto imperio</t>
  </si>
  <si>
    <t>Petro Martionis</t>
  </si>
  <si>
    <t>Johannes de Ponte dicto Gato</t>
  </si>
  <si>
    <t>Petro Formerii nobili</t>
  </si>
  <si>
    <t>Johaneto di Spayeto</t>
  </si>
  <si>
    <t>Johanneti de Chasane</t>
  </si>
  <si>
    <t>Cens en avoirne (en emine)</t>
  </si>
  <si>
    <t>Difficilement lisible</t>
  </si>
  <si>
    <t>Boeni</t>
  </si>
  <si>
    <t>Ville Nove Devesseti</t>
  </si>
  <si>
    <t>Vivarensis Dyocesis</t>
  </si>
  <si>
    <t>Situm in loco Ville Nove Devesseti</t>
  </si>
  <si>
    <t>Orto Martoni Guigonelli</t>
  </si>
  <si>
    <t>Orto sito recto domui</t>
  </si>
  <si>
    <r>
      <t xml:space="preserve">A parte ventus Itinere publice dicti loci </t>
    </r>
    <r>
      <rPr>
        <sz val="11"/>
        <rFont val="Calibri"/>
        <family val="2"/>
        <scheme val="minor"/>
      </rPr>
      <t>recte</t>
    </r>
    <r>
      <rPr>
        <sz val="11"/>
        <color theme="1"/>
        <rFont val="Calibri"/>
        <family val="2"/>
        <scheme val="minor"/>
      </rPr>
      <t xml:space="preserve"> accedendo de domo ad domum sive castrum Devesseti</t>
    </r>
  </si>
  <si>
    <r>
      <t xml:space="preserve">A parte occidentali </t>
    </r>
    <r>
      <rPr>
        <sz val="11"/>
        <rFont val="Calibri"/>
        <family val="2"/>
        <scheme val="minor"/>
      </rPr>
      <t>recte</t>
    </r>
    <r>
      <rPr>
        <sz val="11"/>
        <color rgb="FF00B050"/>
        <rFont val="Calibri"/>
        <family val="2"/>
        <scheme val="minor"/>
      </rPr>
      <t xml:space="preserve"> </t>
    </r>
    <r>
      <rPr>
        <sz val="11"/>
        <rFont val="Calibri"/>
        <family val="2"/>
        <scheme val="minor"/>
      </rPr>
      <t>accedendo ad nemus de Picharo</t>
    </r>
    <r>
      <rPr>
        <sz val="11"/>
        <color theme="1"/>
        <rFont val="Calibri"/>
        <family val="2"/>
        <scheme val="minor"/>
      </rPr>
      <t xml:space="preserve"> quodam parete inter medio</t>
    </r>
  </si>
  <si>
    <t>Orto dicte Blessa quodam alia pariete inter medio a parte occidentali</t>
  </si>
  <si>
    <t>Situm in territorio Ville Nove Devesseti</t>
  </si>
  <si>
    <t>Prato Johannus Appays donato a parte borte</t>
  </si>
  <si>
    <t>Orto qui est ad manum domini a parte occidentali</t>
  </si>
  <si>
    <t>Orto Girandi Virilhati</t>
  </si>
  <si>
    <t>Patili contiguo prope iter publicum sub</t>
  </si>
  <si>
    <t>Pratili comuni</t>
  </si>
  <si>
    <t>Las Fontetas</t>
  </si>
  <si>
    <t>Infra castrum Devesseti</t>
  </si>
  <si>
    <t>Fratre Petro Guillhati curato Ville Nove Devesseti</t>
  </si>
  <si>
    <t>Guillermo Filhati</t>
  </si>
  <si>
    <t>Johanne Garuerii</t>
  </si>
  <si>
    <t>Petro Labenent nobili</t>
  </si>
  <si>
    <t>Johanne Charbonelhi prebiteri</t>
  </si>
  <si>
    <t>Petro de Ruppe</t>
  </si>
  <si>
    <t>Fayni</t>
  </si>
  <si>
    <t>Loco et territorio de Chalmariais</t>
  </si>
  <si>
    <t>Que idem Girandus aquisivit a dicto Marco de Spaetis</t>
  </si>
  <si>
    <t>In comitate loci de Maysonetis</t>
  </si>
  <si>
    <t>Domui suum</t>
  </si>
  <si>
    <t>Terra et pasturalia</t>
  </si>
  <si>
    <t>Maysonetis</t>
  </si>
  <si>
    <t>Nomine liberorum suorum</t>
  </si>
  <si>
    <t>Sius apud Chalmariais</t>
  </si>
  <si>
    <t>Manso et territorio de Chalmariais</t>
  </si>
  <si>
    <t>Baylhagio</t>
  </si>
  <si>
    <t>Possessiones + terra + pasturalia</t>
  </si>
  <si>
    <t>Baylhagio + terra et pasturalia</t>
  </si>
  <si>
    <t>Quod aquisivit a Guigone La Boscha</t>
  </si>
  <si>
    <t>Quod aquisivit a Petro et Laurentio de maisonetis fratrum</t>
  </si>
  <si>
    <t>Nova censa</t>
  </si>
  <si>
    <t>In comitate de Maisonetis</t>
  </si>
  <si>
    <t>Baylhagio + prato + 2 possessiones</t>
  </si>
  <si>
    <t>Domos + grangiam + prato + 2 possessiones</t>
  </si>
  <si>
    <t>Petro de Feudo presbitero</t>
  </si>
  <si>
    <t>Heustachio de Quinccaco</t>
  </si>
  <si>
    <t>Matheo Morelli</t>
  </si>
  <si>
    <t>Verilhati</t>
  </si>
  <si>
    <t>Chambonaut</t>
  </si>
  <si>
    <t>Nomine Johanete eius uxoris</t>
  </si>
  <si>
    <t>Tres partes omnium et singulorum rerum et possessiones qua condam Johanis Martonis habebat et tenebat et possidebat in loco et territorio de Chalmariais</t>
  </si>
  <si>
    <t>Locus de Chalmariais</t>
  </si>
  <si>
    <t>Terra Hominum de Chalmetis</t>
  </si>
  <si>
    <t>Johaneta eius uxoris</t>
  </si>
  <si>
    <t>Domos, prata, orti, campi et nemora et alii terra</t>
  </si>
  <si>
    <t>Possessiones eiux uxoris + baylhagio</t>
  </si>
  <si>
    <t>De mandamento et juridictione et infra mandamentum loci seu castri Devesseti</t>
  </si>
  <si>
    <t>De mandamento juridictione loci de Chalmariais</t>
  </si>
  <si>
    <t>Johanne Meruli</t>
  </si>
  <si>
    <t>Johanne de Sancto Anthonio</t>
  </si>
  <si>
    <t>Jacobo Dens Pontetz</t>
  </si>
  <si>
    <t>Marconis</t>
  </si>
  <si>
    <t>Filia Johanis Marconis de Chalmariais condam</t>
  </si>
  <si>
    <t>Quartam partem omnium rerum et possessionem quem fuerunt condam Johanis Marconis sive Despaetis eius patris</t>
  </si>
  <si>
    <t>De mandato et infra mandamento et omnimoda juridictione loci de Chalmariais</t>
  </si>
  <si>
    <t>Jacobo Chanbonandi</t>
  </si>
  <si>
    <t>Michaele Chambonandi</t>
  </si>
  <si>
    <t>Sitam apud Chalmariais</t>
  </si>
  <si>
    <t>Domum + pasturale</t>
  </si>
  <si>
    <t>Dens Cumbens</t>
  </si>
  <si>
    <t>Situm in territorio de Maisonetis</t>
  </si>
  <si>
    <t>Circumcircam</t>
  </si>
  <si>
    <t>Pasturalibus Jacobi Fayni</t>
  </si>
  <si>
    <t>Fils</t>
  </si>
  <si>
    <t>Ortum, campos, prata et pasturalia et nemora et alias possessiones</t>
  </si>
  <si>
    <t>Quod condam fuerunt Petronille filie Petri Chaulent condam uxoris sua condam</t>
  </si>
  <si>
    <t>Liberorum suorum</t>
  </si>
  <si>
    <t>Possessiones liberorum suorum</t>
  </si>
  <si>
    <t>Cens en avoine (cartayronis)</t>
  </si>
  <si>
    <t>Cens en seigle (cartayronis)</t>
  </si>
  <si>
    <t>Cens en seigle (en cartayronis)</t>
  </si>
  <si>
    <t>Cens en avoine (en cartayronis)</t>
  </si>
  <si>
    <t>Fratre Johanne Meruli ordinis Sancti Johanis Jherosolimitani</t>
  </si>
  <si>
    <r>
      <t xml:space="preserve">Johanne Jucge </t>
    </r>
    <r>
      <rPr>
        <sz val="11"/>
        <color rgb="FFFF0000"/>
        <rFont val="Calibri"/>
        <family val="2"/>
        <scheme val="minor"/>
      </rPr>
      <t>al'</t>
    </r>
    <r>
      <rPr>
        <sz val="11"/>
        <color theme="1"/>
        <rFont val="Calibri"/>
        <family val="2"/>
        <scheme val="minor"/>
      </rPr>
      <t xml:space="preserve"> verila</t>
    </r>
  </si>
  <si>
    <t>Thoma Chanbonane</t>
  </si>
  <si>
    <t>Giuilloneti</t>
  </si>
  <si>
    <t>Costam</t>
  </si>
  <si>
    <t>Petia Mathei Cesi</t>
  </si>
  <si>
    <t>Petia Jacobi Fayni vocata de Pralont</t>
  </si>
  <si>
    <t>Prato Johanis de Chalmetas</t>
  </si>
  <si>
    <t>Balayam pasturali</t>
  </si>
  <si>
    <t>Rialham de Forneti</t>
  </si>
  <si>
    <t>Aquade Forneti</t>
  </si>
  <si>
    <t>De Laboseta</t>
  </si>
  <si>
    <t>De Fornet</t>
  </si>
  <si>
    <t>Costam + Balayam pasturali + pasturali</t>
  </si>
  <si>
    <t>Uxor Guillermi Fabii de Chalmariais</t>
  </si>
  <si>
    <t>Domum suum</t>
  </si>
  <si>
    <t>Patili de Chalmariais</t>
  </si>
  <si>
    <t>Domum + ortum</t>
  </si>
  <si>
    <t>Filius Guillermi Jacobi condam</t>
  </si>
  <si>
    <t>Sitas in loco de Chalmariais</t>
  </si>
  <si>
    <t>Situm in loco seu territorio de Maisonetis</t>
  </si>
  <si>
    <t>Prato Petri de Prim</t>
  </si>
  <si>
    <t>Terra Dens Verilhas</t>
  </si>
  <si>
    <t>Quam aquisivit a Thoma eius fratre</t>
  </si>
  <si>
    <t>Domum + grangiam pratum + bayliaghio</t>
  </si>
  <si>
    <t>De juridictione omnimoda altaque et bessa justitia castri seu loci de Chalmariais</t>
  </si>
  <si>
    <t>Devesset, avant la porte de Devesset</t>
  </si>
  <si>
    <t>Petrum de Casalibus</t>
  </si>
  <si>
    <t>Laurens</t>
  </si>
  <si>
    <t>Sitam in loco de Chalmariais</t>
  </si>
  <si>
    <t>Territorio de Chalmariais</t>
  </si>
  <si>
    <t>Calmis</t>
  </si>
  <si>
    <t>Quod assenssate sunt per eiusdem</t>
  </si>
  <si>
    <t>Sitas in comitate</t>
  </si>
  <si>
    <t>Terra Dens Pontetz</t>
  </si>
  <si>
    <t>Prato Jacobi Fayni</t>
  </si>
  <si>
    <t>In comitate</t>
  </si>
  <si>
    <t>Johannete nepos Johannete Penarde uxoris Johannis filli dicti Laurens</t>
  </si>
  <si>
    <t>Petite-nièce</t>
  </si>
  <si>
    <t>Sitas apud Chalmariais</t>
  </si>
  <si>
    <t>Johanete Penarde, nepote uxoris eius filii</t>
  </si>
  <si>
    <t>Ortum, prata, compos, pasturalia, casalia, nemora et casamenta</t>
  </si>
  <si>
    <t>Que condam fuerunt dicte Johanete Penarde condam</t>
  </si>
  <si>
    <t>Omnia sita sunt in territorio de Chalmariais</t>
  </si>
  <si>
    <t>Possessiones nepos uxor eius filii</t>
  </si>
  <si>
    <t>Domum + ortum + calmis + possessiones nepos uxoris eius filii</t>
  </si>
  <si>
    <t>Baylhagio + calmis + possessiones nepos uxoris eius filii</t>
  </si>
  <si>
    <t>De omnimoda juridictione et de mandamento loci seu castri de Chalmariais</t>
  </si>
  <si>
    <t>Situm in comitate de Maisonetis</t>
  </si>
  <si>
    <t>Pratum Jacobi Chambonat</t>
  </si>
  <si>
    <t>Jonannete eius uxoris</t>
  </si>
  <si>
    <t>Johannete eius uxoris</t>
  </si>
  <si>
    <t>Ortum, compos, prata, pascua, pasuralia et nemora et omnes alias terras et possessiones</t>
  </si>
  <si>
    <t>In loco et territorio de Chalmariais</t>
  </si>
  <si>
    <t>Baylhagio eius uxoris</t>
  </si>
  <si>
    <t>Possessiones eius uxoris + baylhagio eius uxoris</t>
  </si>
  <si>
    <t>Domum + baylhagio + pratum + domum eius uxoris + possessiones eius uxoris</t>
  </si>
  <si>
    <t>De mandamento et juridictione omnimoda</t>
  </si>
  <si>
    <t>Castri seu loci de Chalmariais</t>
  </si>
  <si>
    <t>Devesset, avant la porte du castrum</t>
  </si>
  <si>
    <t>Guillermo Boteria de Capella parochie Sancti Agreppavii</t>
  </si>
  <si>
    <t>Guillermo Boteria de Capella</t>
  </si>
  <si>
    <t>Guillermo Boteria</t>
  </si>
  <si>
    <t>Martino de Capella parochie Sancti Agreppavii</t>
  </si>
  <si>
    <t>Malagayta</t>
  </si>
  <si>
    <t>De Malagayta</t>
  </si>
  <si>
    <t>Filius Nicholaii de Malagayta condam</t>
  </si>
  <si>
    <t>Maii</t>
  </si>
  <si>
    <t>Et 1041</t>
  </si>
  <si>
    <t>Sitas apud Malagayta</t>
  </si>
  <si>
    <t>Sitos in loco de Malagayta</t>
  </si>
  <si>
    <t>Loco et territorio de Malagayta</t>
  </si>
  <si>
    <t>Territorio de Malagayta</t>
  </si>
  <si>
    <t>Terra hominium nobilis Guillermis de Castel Noven in boteria militits</t>
  </si>
  <si>
    <t>Terra de Bosmeia et de Croseto</t>
  </si>
  <si>
    <t>Terra Guillermi baiuli de Fayno</t>
  </si>
  <si>
    <t>Terra heredum Poncii de Marena domicelli condam</t>
  </si>
  <si>
    <t>Qui erint a Guillermo de Malagayta donato Hosptalis</t>
  </si>
  <si>
    <t>Pratis et pasturalibus</t>
  </si>
  <si>
    <t>De la Jarosseria</t>
  </si>
  <si>
    <t>Quam erint a Blancha del Bost et eius fratre</t>
  </si>
  <si>
    <t>Petia terre</t>
  </si>
  <si>
    <t>Domos + ortos + possessiones + pratis + pasturalibus + terra + petie terra</t>
  </si>
  <si>
    <t>Pratis et pasturallibus + terra + petie terra</t>
  </si>
  <si>
    <t>De juridictione et senhoria</t>
  </si>
  <si>
    <t>in compositione olim facta inter domum Devesseti et domini catri Fayni condam</t>
  </si>
  <si>
    <t>Saint-Agrève, dans la maison de Granerui de Saint-Agrève</t>
  </si>
  <si>
    <t>Sitam apud Malagayta</t>
  </si>
  <si>
    <t>Et fratres sui</t>
  </si>
  <si>
    <t>Loco et territorio et pertinentiis loci de Malagayta</t>
  </si>
  <si>
    <t>Quar erint a Andree de Malagayta condam</t>
  </si>
  <si>
    <t>Quas erint a Guillermo de Malagayta donato Hospitalis</t>
  </si>
  <si>
    <t>Domus seu castri Devesseti</t>
  </si>
  <si>
    <t>Quersi</t>
  </si>
  <si>
    <t>Possessiones aquisivit a Petro Pelisserii de Malagaytafilio et herede Johannis de Malagayta condam et herede et bonatente Vitalis de Malagayta condam</t>
  </si>
  <si>
    <t>Et Boeynanis cum eorum animalibus</t>
  </si>
  <si>
    <t>Fouzitout</t>
  </si>
  <si>
    <t>Doit comme ses prédecesseurs</t>
  </si>
  <si>
    <t>Nobile Catrine de Pelhissaro (sa femme)</t>
  </si>
  <si>
    <t>Viro religioso fratre Johanne Verilhati ordinis Sancti Johannis Jherosolimitani</t>
  </si>
  <si>
    <t>Petro Verilhati ordinis Sancti Johannis jherosolimitani</t>
  </si>
  <si>
    <t>Vitale de Bosco Mundo clerico</t>
  </si>
  <si>
    <t>Jacobo Boscheti</t>
  </si>
  <si>
    <t>Pro ac nomine Blanchie eius uxoris</t>
  </si>
  <si>
    <t>Sitam apud Malagaita</t>
  </si>
  <si>
    <t>De juridictione</t>
  </si>
  <si>
    <t>Petro Girardo de Massello</t>
  </si>
  <si>
    <t>De Bosco Medio</t>
  </si>
  <si>
    <t>Parochie Sancti Evodii prope Banas, aniciensis dyocesis</t>
  </si>
  <si>
    <t>Nomine Johannis de Bosco Medio patris sui</t>
  </si>
  <si>
    <t>Instrumentum scriptum et signum magistri Vitalis Boscheti notarii regi le 11 mars 1360</t>
  </si>
  <si>
    <t>Stitam in Coastibanya infra terri territorium de Malagayta</t>
  </si>
  <si>
    <t>Terra petia Petri Pelhisserii de Malagayta</t>
  </si>
  <si>
    <t>Terre petia Johannis de Boscp Medio</t>
  </si>
  <si>
    <t>Mesiis de Malagayta</t>
  </si>
  <si>
    <t>Johannes de Bosco Medio aquisivit a Blanchia de Bosco (sur l même document que évoqué)</t>
  </si>
  <si>
    <t>2 terre petiam</t>
  </si>
  <si>
    <t>Promisit esse bonus et fidelis</t>
  </si>
  <si>
    <t>Devesset, sous le fort du lieu</t>
  </si>
  <si>
    <t>Laurento Despaetis</t>
  </si>
  <si>
    <t>Guillermo Picard</t>
  </si>
  <si>
    <t>Petro Chambonelli</t>
  </si>
  <si>
    <t>Petro Pelhisserii</t>
  </si>
  <si>
    <t>Clemens</t>
  </si>
  <si>
    <t>Nomine Viricencii de Malagayta</t>
  </si>
  <si>
    <t>Quelqu'un</t>
  </si>
  <si>
    <t>Quam erint a Guillermo de Malagayta donato Hosptalis</t>
  </si>
  <si>
    <t>Sita in manso de Masferiol et Chanblando, infra territorio de Malagayta</t>
  </si>
  <si>
    <t>Sanha</t>
  </si>
  <si>
    <t>Las Blachas</t>
  </si>
  <si>
    <t>De Las Blachas</t>
  </si>
  <si>
    <t>De Bolamo</t>
  </si>
  <si>
    <t>Domos + 2 terra + sanha</t>
  </si>
  <si>
    <t>Pro Poncio et Guillermo eius amiculis</t>
  </si>
  <si>
    <t>Amiculis</t>
  </si>
  <si>
    <t>Pratis et possessionibus</t>
  </si>
  <si>
    <t>Terris + pratis et pasturalibus</t>
  </si>
  <si>
    <t>Terris + pratis et pasturalibus + 2 terra + sanha</t>
  </si>
  <si>
    <t>Costat in notarii de tribus ut infra et deibus octo et oboli in duobus locis ita est</t>
  </si>
  <si>
    <t>Filius Guillermi de Malagayta condam</t>
  </si>
  <si>
    <t>Pro Petro eius fratre</t>
  </si>
  <si>
    <t>Sitas in loco de Malagayta</t>
  </si>
  <si>
    <t>Filius Johannis de Malagayta</t>
  </si>
  <si>
    <t>Loco et territorio de Malagayta et de Manso Feriol et de Dailhdega</t>
  </si>
  <si>
    <t>Loco et territorio de Malagayta et de Mas Feriol et de Daldega</t>
  </si>
  <si>
    <t>Loco et territorio de Malagayta et in locus et pertinentiis de Mas Feriol et de Dalhdega</t>
  </si>
  <si>
    <t>Sana</t>
  </si>
  <si>
    <t>Quam aquisit a Blanchia del Boc</t>
  </si>
  <si>
    <t>Domum + sana</t>
  </si>
  <si>
    <t>Eustachio de Quinteato domicelli</t>
  </si>
  <si>
    <t>Mattheo Matinerii</t>
  </si>
  <si>
    <t>Bonihonis</t>
  </si>
  <si>
    <t>Gorgoras</t>
  </si>
  <si>
    <t>Jacobus et Poncius + Johannis, Bertrandi et Girandus + Jacobus</t>
  </si>
  <si>
    <t>Bonihonis + Ayglini + Fayoli del Buic</t>
  </si>
  <si>
    <t>Jacobus Fayoli nomine Michaele filie Johannis Chanalerii de Gorgoras uxoris sue + Guillermi Chanalerii de Gorgeras condam</t>
  </si>
  <si>
    <t>Die Jonis in festo beatorum Johannis et Pauli apostolorum</t>
  </si>
  <si>
    <t>Page barée (vaces)</t>
  </si>
  <si>
    <t>Del Rioni de Gorgoras</t>
  </si>
  <si>
    <t>Petia vocatorum loce Chamalens</t>
  </si>
  <si>
    <t>Nuo sol</t>
  </si>
  <si>
    <t>Del Fornet</t>
  </si>
  <si>
    <t>Nemore de Laschuessas Dens Chanalens</t>
  </si>
  <si>
    <t>Laschuessas</t>
  </si>
  <si>
    <t>Terra domini Castenoni</t>
  </si>
  <si>
    <t>Petia Poncii Bonichonis</t>
  </si>
  <si>
    <t>Michaela Chanaleira filia Johanis Chanalerii condam + Peyrononus De Rivo filius Guillermi de Rivo de Gorgoras</t>
  </si>
  <si>
    <t>Jacobus et Poncius + Johannes, Girandis et Bertrandus + Guillermus + Michaela + Peyrononus et Blancha</t>
  </si>
  <si>
    <t>Bonihonis + Ayglini + Giardi + Chanaleira + De Rivo + Diutras</t>
  </si>
  <si>
    <t>Nomine Johanne uxoris Anthonii Chanaleira filii + Blancha Duitras nomine Petronille filie sue et filie Johannis Ayglini eius mariti conda + Michaela nomine Laurenti et Martine filiarum Guillermi Chanalem condam</t>
  </si>
  <si>
    <t>De Lascheressas</t>
  </si>
  <si>
    <t>Situm in territorio de Gorgoras</t>
  </si>
  <si>
    <t>Terra castri Monstisregalis (a parte superiori) prout ibidem terrirri et mete platate sunt et quidam fons nastens de super juxta quedam runilium terras predictas dundentes</t>
  </si>
  <si>
    <t>Terra nobilis Guillermi de Ronugius domicelli (a parte occidentalis)</t>
  </si>
  <si>
    <t>Terra nobili domini Guillermi domini castri de Castronovo militis (a parte inferiori) prout circumcircam ibidem mete sunt fixe</t>
  </si>
  <si>
    <t>Del Lechare</t>
  </si>
  <si>
    <t>Terra domini Guillermi domini de Castronovo militis</t>
  </si>
  <si>
    <t>Terra castri Montisregalis</t>
  </si>
  <si>
    <t>2 Tenementum</t>
  </si>
  <si>
    <t>Saint-Romain, in carrerra juxta Synnuterium</t>
  </si>
  <si>
    <t>Fratre Guillermo de Ruppe curato ecclesie Sancti Romani</t>
  </si>
  <si>
    <t>Jacobo de la Chareyra diutros</t>
  </si>
  <si>
    <t>Johanne filio Jacobi de Marcis parrochie Sancti Romani</t>
  </si>
  <si>
    <t>Diutras</t>
  </si>
  <si>
    <t>Pro filia sua</t>
  </si>
  <si>
    <t>Peyrononus</t>
  </si>
  <si>
    <t>De Rivo</t>
  </si>
  <si>
    <t>Aquisito per patrem suum a Guillermo Chanalerii</t>
  </si>
  <si>
    <t>Pro Johanna uxor filii sui</t>
  </si>
  <si>
    <t>Pro uxor filii sui</t>
  </si>
  <si>
    <t>Pro uxor eius filii</t>
  </si>
  <si>
    <t>Bru</t>
  </si>
  <si>
    <t>Girandis</t>
  </si>
  <si>
    <t>Bertrandus</t>
  </si>
  <si>
    <t>Pro Anthonina eius uxor</t>
  </si>
  <si>
    <t>Ayglini</t>
  </si>
  <si>
    <t>Michaela</t>
  </si>
  <si>
    <t>Chanaleira</t>
  </si>
  <si>
    <t>Pro consanguineris suis</t>
  </si>
  <si>
    <t>Sa famille</t>
  </si>
  <si>
    <t>Boscheri</t>
  </si>
  <si>
    <t>Fay</t>
  </si>
  <si>
    <t>Notarius regii</t>
  </si>
  <si>
    <t>Détail sur hospicium</t>
  </si>
  <si>
    <t>Situatum in loco de Fayno</t>
  </si>
  <si>
    <t>Domo claustrali ecclesie de Fayno</t>
  </si>
  <si>
    <r>
      <rPr>
        <sz val="11"/>
        <color rgb="FFFF0000"/>
        <rFont val="Calibri"/>
        <family val="2"/>
        <scheme val="minor"/>
      </rPr>
      <t>Ranco</t>
    </r>
    <r>
      <rPr>
        <sz val="11"/>
        <color theme="1"/>
        <rFont val="Calibri"/>
        <family val="2"/>
        <scheme val="minor"/>
      </rPr>
      <t xml:space="preserve"> castri de Fayno quadam cariere media</t>
    </r>
  </si>
  <si>
    <t>Aliis pedis quas teneo a domino meo de Fayno</t>
  </si>
  <si>
    <t>Champanhac</t>
  </si>
  <si>
    <t>Constractus emphiteotarii</t>
  </si>
  <si>
    <t>Prato Petri Amati de Chanclausa</t>
  </si>
  <si>
    <t>De juridictione…</t>
  </si>
  <si>
    <t>Austorgonis</t>
  </si>
  <si>
    <t>Croseto Minoris</t>
  </si>
  <si>
    <t>Petia terre trium meytenchadarum</t>
  </si>
  <si>
    <t xml:space="preserve"> quam tenet a domino Guillermo de Satilhiaco milite</t>
  </si>
  <si>
    <t>Calma de Chalmeselis</t>
  </si>
  <si>
    <t>Sitam in territorio de Chalmiselis</t>
  </si>
  <si>
    <t>Staphanis</t>
  </si>
  <si>
    <r>
      <t xml:space="preserve">Prato </t>
    </r>
    <r>
      <rPr>
        <sz val="11"/>
        <rFont val="Calibri"/>
        <family val="2"/>
        <scheme val="minor"/>
      </rPr>
      <t>Stephani</t>
    </r>
    <r>
      <rPr>
        <sz val="11"/>
        <color theme="1"/>
        <rFont val="Calibri"/>
        <family val="2"/>
        <scheme val="minor"/>
      </rPr>
      <t xml:space="preserve"> Lhanterii</t>
    </r>
  </si>
  <si>
    <t>Terra  eius fratris</t>
  </si>
  <si>
    <t>Prato Stephani Lhanterii</t>
  </si>
  <si>
    <t>Petia terre Stephani fratris sui</t>
  </si>
  <si>
    <t>Orto Stephani Lhanterii</t>
  </si>
  <si>
    <t>Filius Stephani de Malagayta</t>
  </si>
  <si>
    <t>Situm in territorio de Mylhoza</t>
  </si>
  <si>
    <t>Prato Stephani de Malagayta</t>
  </si>
  <si>
    <t>Rivo vocato de Cevena</t>
  </si>
  <si>
    <t>Promisit esse fidelis et in' domus Devesseti</t>
  </si>
  <si>
    <t>Guillermo la Fanria</t>
  </si>
  <si>
    <t>Gregorie de Penite de Sancto Agrippavio</t>
  </si>
  <si>
    <t>Homo-licgius justitiabilis et expletabilis ad omnimodas voluntates</t>
  </si>
  <si>
    <t>Talhabiles</t>
  </si>
  <si>
    <t>Situm apud Chanilhs</t>
  </si>
  <si>
    <t>Sitam apud Chanilhhs</t>
  </si>
  <si>
    <t>Domo Poncii de Chanils</t>
  </si>
  <si>
    <t>Domo Pocii de Chanils</t>
  </si>
  <si>
    <t>Del Clot</t>
  </si>
  <si>
    <t>Petia Dens Largens</t>
  </si>
  <si>
    <t>Petia Dens Foras</t>
  </si>
  <si>
    <t>De prato de Champmort</t>
  </si>
  <si>
    <t>Petia Petri Curtilis</t>
  </si>
  <si>
    <t>Petia Poncii de Chanils</t>
  </si>
  <si>
    <t>Del Suchayro</t>
  </si>
  <si>
    <t>Petia Dens Largieris</t>
  </si>
  <si>
    <t>Tenemento de Chanils</t>
  </si>
  <si>
    <t>Versanam</t>
  </si>
  <si>
    <t>Del Peiro</t>
  </si>
  <si>
    <t>Petia Dens Chareiras</t>
  </si>
  <si>
    <t>Terris de Chanils</t>
  </si>
  <si>
    <t>De Craba Rata</t>
  </si>
  <si>
    <t>Petia Johannis Turri de Furnis</t>
  </si>
  <si>
    <t>De Lasrochas</t>
  </si>
  <si>
    <t>Terra Poncii de Chanils</t>
  </si>
  <si>
    <t>Terra Jacobi de Chanils</t>
  </si>
  <si>
    <t>Sitam apud Chanils</t>
  </si>
  <si>
    <t>Pasturali Poncii de Chanils</t>
  </si>
  <si>
    <t>Petia Johannis Turri</t>
  </si>
  <si>
    <t>Petia Jacmonis de Chanils</t>
  </si>
  <si>
    <t>Sitam in territorio de la Veiranua</t>
  </si>
  <si>
    <t>Terra de Villalongia</t>
  </si>
  <si>
    <t>Vocatorum de Los Chareiras</t>
  </si>
  <si>
    <t>Del Frayteir</t>
  </si>
  <si>
    <t>Terra Dens Ruens</t>
  </si>
  <si>
    <t>Versana</t>
  </si>
  <si>
    <t>Loco et territorio de Chanils</t>
  </si>
  <si>
    <t>Chanils</t>
  </si>
  <si>
    <t>Del Clotz</t>
  </si>
  <si>
    <t>Sanhacio Jacobi de Chanils</t>
  </si>
  <si>
    <t>Prato Poncii de Chanils</t>
  </si>
  <si>
    <t>Sutus ruppe</t>
  </si>
  <si>
    <t>De parato Ferrant</t>
  </si>
  <si>
    <t>Pasturale + 5 prati</t>
  </si>
  <si>
    <t>Johanne Barerii Dens Chozaleiz</t>
  </si>
  <si>
    <t>De Chanils</t>
  </si>
  <si>
    <t>Peyronus et Jacmeta</t>
  </si>
  <si>
    <t>Peyronus filius Guillermi de Chanils condam + Jacmeta relicta Jacobi de Chanils condam</t>
  </si>
  <si>
    <t>Jacmeta nomine liberorum suorum</t>
  </si>
  <si>
    <t>Homo-licgius justitiabilis et talhabilies ad omnimodas voluntates</t>
  </si>
  <si>
    <t>Filius Petri de Chanils</t>
  </si>
  <si>
    <t>Sitas apud Chanils</t>
  </si>
  <si>
    <t>Situm ante domum suum</t>
  </si>
  <si>
    <t>De Cruce</t>
  </si>
  <si>
    <t>Del Poy</t>
  </si>
  <si>
    <t>De Podio</t>
  </si>
  <si>
    <t>Del Praet</t>
  </si>
  <si>
    <t>Del Raunaudest</t>
  </si>
  <si>
    <t>De la Veruna</t>
  </si>
  <si>
    <t>Sitam Enlas Lonianhas</t>
  </si>
  <si>
    <t>Sitam de recto domum suam</t>
  </si>
  <si>
    <t>La Cartala</t>
  </si>
  <si>
    <t>Partem suam omnium dest qua omnia</t>
  </si>
  <si>
    <t>Sita in territorio de Chanils</t>
  </si>
  <si>
    <t>Terra de Villa Lonia</t>
  </si>
  <si>
    <t>Calma Del Mares Fornes</t>
  </si>
  <si>
    <t>Terra de Champanhas</t>
  </si>
  <si>
    <t>Situm ante domum suum de Chanils</t>
  </si>
  <si>
    <t>Del Sant</t>
  </si>
  <si>
    <t>Juxta domum nuum</t>
  </si>
  <si>
    <t>De Prato Ferrate</t>
  </si>
  <si>
    <t>Sitam in territorio de Chanils</t>
  </si>
  <si>
    <t>De Cumba</t>
  </si>
  <si>
    <t>Juxta molenduunum de Champanhas</t>
  </si>
  <si>
    <t>De Lasgotas</t>
  </si>
  <si>
    <t>Prope de Villalonia</t>
  </si>
  <si>
    <t>3 Prati + 2 pasturale + 1 nemus</t>
  </si>
  <si>
    <t>Domum + ortum + 9 petiae + terrae + 3 Prati + 2 pasturale + 1 nemus</t>
  </si>
  <si>
    <t>Domum + ortum + 9 petiae + 1 pasturale + 5 prati + versana</t>
  </si>
  <si>
    <t>Nicolao de Furnis</t>
  </si>
  <si>
    <t>Johanne Dens Chazaetz</t>
  </si>
  <si>
    <t>Filius Martonis Sanhas De Brusco</t>
  </si>
  <si>
    <t>Brusco</t>
  </si>
  <si>
    <t>Situm in territotio de Lascostas</t>
  </si>
  <si>
    <t>Prato Johannis Grugonis</t>
  </si>
  <si>
    <t>Prato Jacobi Chareira de Vilalonia</t>
  </si>
  <si>
    <t>Devesset, in quoquina</t>
  </si>
  <si>
    <r>
      <t xml:space="preserve">Petro </t>
    </r>
    <r>
      <rPr>
        <sz val="11"/>
        <color rgb="FFFF0000"/>
        <rFont val="Calibri"/>
        <family val="2"/>
        <scheme val="minor"/>
      </rPr>
      <t>Maipino</t>
    </r>
  </si>
  <si>
    <t>Guillermo Grosseti</t>
  </si>
  <si>
    <t>Johannis</t>
  </si>
  <si>
    <t>Montilio</t>
  </si>
  <si>
    <t>Parochie de Lanastres</t>
  </si>
  <si>
    <t>Unius dimidiam Seytoratam Prati</t>
  </si>
  <si>
    <t>Prata Johannis de Feudo</t>
  </si>
  <si>
    <t>Prato Mariete uxoris Vitalis Truffandi</t>
  </si>
  <si>
    <t>Saint-Agrève, in gramero Devesseti</t>
  </si>
  <si>
    <t>Guillermo de Curtibus</t>
  </si>
  <si>
    <t>Petro Valeta de Montilio</t>
  </si>
  <si>
    <t>Rocurliolis</t>
  </si>
  <si>
    <t>Chantaloba</t>
  </si>
  <si>
    <t>Situm in territorio de Tenharant</t>
  </si>
  <si>
    <t>Prato Jacobi Ferrisserii</t>
  </si>
  <si>
    <t>Prato Dens Alenbietz</t>
  </si>
  <si>
    <t>Via qua itur de Chandayrolis versus Chantaloba</t>
  </si>
  <si>
    <t>Territoire appartient à la maison de Devesset</t>
  </si>
  <si>
    <t>Chandaralis</t>
  </si>
  <si>
    <t>Nomine Girandi Boscheti eius fratris</t>
  </si>
  <si>
    <t>Situm in territorio de Relharant</t>
  </si>
  <si>
    <t>Prato Gregorii Alamlueti</t>
  </si>
  <si>
    <t>Terra domus Devesseti</t>
  </si>
  <si>
    <t>G. Gastonis domicellis</t>
  </si>
  <si>
    <t>Andree de Galibertis</t>
  </si>
  <si>
    <r>
      <t xml:space="preserve">Non debet facere literam de presente </t>
    </r>
    <r>
      <rPr>
        <sz val="11"/>
        <color rgb="FFFF0000"/>
        <rFont val="Calibri"/>
        <family val="2"/>
        <scheme val="minor"/>
      </rPr>
      <t>nooa</t>
    </r>
  </si>
  <si>
    <t>Montes</t>
  </si>
  <si>
    <t>Pro Guillerma eius sororis</t>
  </si>
  <si>
    <t>Divers</t>
  </si>
  <si>
    <t>Masacgio</t>
  </si>
  <si>
    <t>De Relharant</t>
  </si>
  <si>
    <t>De Novo assensaco</t>
  </si>
  <si>
    <t>Deschans</t>
  </si>
  <si>
    <t>Mansum</t>
  </si>
  <si>
    <t>De Las Antas sive de Ralharant et in partibus de Chandeyrolus nominatum de Devesseti</t>
  </si>
  <si>
    <t>Promisit esse bonus et fidelis tenementi capitulis</t>
  </si>
  <si>
    <t>Devesset, intra fortalitium</t>
  </si>
  <si>
    <t>Venerabilis viri frater Raymundo Vilhat Hospitalis</t>
  </si>
  <si>
    <r>
      <t xml:space="preserve">Venerabilis viri frater Johanne </t>
    </r>
    <r>
      <rPr>
        <sz val="11"/>
        <rFont val="Calibri"/>
        <family val="2"/>
        <scheme val="minor"/>
      </rPr>
      <t>Vilhiti Hospitalis</t>
    </r>
  </si>
  <si>
    <t>Nobilis Johanne Charbonelli</t>
  </si>
  <si>
    <t>Aliis</t>
  </si>
  <si>
    <t>Laurentio Sabii</t>
  </si>
  <si>
    <t>Homo-licgius</t>
  </si>
  <si>
    <t>Sitas apud Avenas</t>
  </si>
  <si>
    <t>Orto heredum Peyroneii de la Blacha condam</t>
  </si>
  <si>
    <t>Orto Michaelis de la Gardeta</t>
  </si>
  <si>
    <t>Orto heredum Michaelis de la Gardeta</t>
  </si>
  <si>
    <t>Sitos apud Avenas</t>
  </si>
  <si>
    <t>Domo Johannis D'Avenas</t>
  </si>
  <si>
    <t>Curtilachio Johannis D'Avenas</t>
  </si>
  <si>
    <t>Via qua itur versus Lacumba</t>
  </si>
  <si>
    <t>Del Chape</t>
  </si>
  <si>
    <r>
      <t xml:space="preserve">Qua sunt </t>
    </r>
    <r>
      <rPr>
        <sz val="11"/>
        <color rgb="FFFF0000"/>
        <rFont val="Calibri"/>
        <family val="2"/>
        <scheme val="minor"/>
      </rPr>
      <t>duo nacrio</t>
    </r>
  </si>
  <si>
    <t>Rivo de Laplantea</t>
  </si>
  <si>
    <t>Prato de Rivo Michaelis de la Gardeta</t>
  </si>
  <si>
    <t>Terra Martini de Laboisonaa</t>
  </si>
  <si>
    <t>Del Verne</t>
  </si>
  <si>
    <t>Situm in territorio d'Avenas</t>
  </si>
  <si>
    <t>Terra Michaelis Fabri de Lagardeta</t>
  </si>
  <si>
    <t>Prato Michaelis D'Avenas</t>
  </si>
  <si>
    <t>Las Fontanelas</t>
  </si>
  <si>
    <t>Prato suo Del Verne</t>
  </si>
  <si>
    <t>Terra domini de Brione</t>
  </si>
  <si>
    <t>De Fonte</t>
  </si>
  <si>
    <t>Via qua itur d'Avenas versus pratum Del Verne</t>
  </si>
  <si>
    <t>Vineam</t>
  </si>
  <si>
    <t>De Plantaa</t>
  </si>
  <si>
    <t>Vinea Michaelis d'Avenas condam</t>
  </si>
  <si>
    <t>Vinea heredum Michaelis d'Avenas condam</t>
  </si>
  <si>
    <t>De La Peira</t>
  </si>
  <si>
    <t>Vineae</t>
  </si>
  <si>
    <t>2 domus + 2 orti + 3 petiae + 1 pratum + 2 vineae</t>
  </si>
  <si>
    <t>Pas mesure indiquée, mais probablement Borzezam</t>
  </si>
  <si>
    <r>
      <t xml:space="preserve">Cens en Meytencus conble de </t>
    </r>
    <r>
      <rPr>
        <sz val="11"/>
        <color rgb="FFFF0000"/>
        <rFont val="Calibri"/>
        <family val="2"/>
        <scheme val="minor"/>
      </rPr>
      <t>nodus</t>
    </r>
  </si>
  <si>
    <t>De dominio et senhoria</t>
  </si>
  <si>
    <t>Apud Avenas, in domo dicti Poncii</t>
  </si>
  <si>
    <t>Martinus et Johannes</t>
  </si>
  <si>
    <t>Johannis nomine fratrum et sororum suorum</t>
  </si>
  <si>
    <t>Sitam apud Avenas</t>
  </si>
  <si>
    <t>Johannes filius Michaelis d'Avenas condam et nepos dicti Martini</t>
  </si>
  <si>
    <t>Apud Avenas et in loco et territorio eiusdem</t>
  </si>
  <si>
    <t>Territorium de Avenas</t>
  </si>
  <si>
    <t>Territorio de la Gardeta</t>
  </si>
  <si>
    <t>Cum omnibus partibus</t>
  </si>
  <si>
    <t>Ab omnibus partibus</t>
  </si>
  <si>
    <t>De Cuba del Vocs</t>
  </si>
  <si>
    <t>Petia Ponchonis d'Avenas</t>
  </si>
  <si>
    <t>De Verneto</t>
  </si>
  <si>
    <t>Prato Ponchonis d'Avenas</t>
  </si>
  <si>
    <t>Domos + possessiones + petia + pratum</t>
  </si>
  <si>
    <t>Cens en avoine (en carte)</t>
  </si>
  <si>
    <t>Loco et territorio d'Avenas</t>
  </si>
  <si>
    <t>Sitam in cumba vocata del Voc</t>
  </si>
  <si>
    <t>Terra domini de Brione (a duabus partibus)</t>
  </si>
  <si>
    <t>Terra heredum Michaelis  d'Avenas</t>
  </si>
  <si>
    <t>Domos + possessiones + petiam</t>
  </si>
  <si>
    <t>Vitaloro filio Johannis Ruffi de Aymoneto de Sancto Agrippavio</t>
  </si>
  <si>
    <t>Laurentia</t>
  </si>
  <si>
    <t>De la Gardeta</t>
  </si>
  <si>
    <t>Uxor Michaelis de la Gardeta condam</t>
  </si>
  <si>
    <t>Nomine Agnetis filie sue</t>
  </si>
  <si>
    <t>Orto Poncii d'Avenas</t>
  </si>
  <si>
    <t>Orto Staphani Chabassonis de Las Blachas</t>
  </si>
  <si>
    <t>Orto Johannis filii Michaelis d'Avenas condam</t>
  </si>
  <si>
    <t>Domo heredum Michaelis d'Avenas condam</t>
  </si>
  <si>
    <t>Situm in territorio de Las Fontanelas</t>
  </si>
  <si>
    <t>Prato Johannis d'Avenas</t>
  </si>
  <si>
    <t>Del Crozas</t>
  </si>
  <si>
    <t>Terra Staphani de La Blacha</t>
  </si>
  <si>
    <t>Terra Martini de la Boyssonada</t>
  </si>
  <si>
    <t>Situm in territorio de Las Fontanelas, in loco vocato Del Vinhalet d'Avenas</t>
  </si>
  <si>
    <t>Terra Johannis d'Avenas</t>
  </si>
  <si>
    <t>Terra Poncii d'Avenas</t>
  </si>
  <si>
    <t>Petiam terre</t>
  </si>
  <si>
    <t>De Laliere</t>
  </si>
  <si>
    <t>Del Champ d'Avenas</t>
  </si>
  <si>
    <t>1 domus + 3 ortum + 3 petiam terre + 2 terre + 1 pratum</t>
  </si>
  <si>
    <t>Aymarii Del Chaylar</t>
  </si>
  <si>
    <t>Sitam in territorio vocato de Glates, in cumba Ba[…] Montocul</t>
  </si>
  <si>
    <t>Rivo vocato de Montugul</t>
  </si>
  <si>
    <r>
      <t xml:space="preserve">Terra </t>
    </r>
    <r>
      <rPr>
        <sz val="11"/>
        <color rgb="FF00B050"/>
        <rFont val="Calibri"/>
        <family val="2"/>
        <scheme val="minor"/>
      </rPr>
      <t>Fumass de Aibone domicelli</t>
    </r>
  </si>
  <si>
    <t>Promisit esse fidelis domui Devesseti</t>
  </si>
  <si>
    <t>Filius Stephani Pelachacha d'Arcens</t>
  </si>
  <si>
    <t>Nomine Vitalis fratris sui</t>
  </si>
  <si>
    <t>Arcens</t>
  </si>
  <si>
    <t>Subtus domi vocati Vileta</t>
  </si>
  <si>
    <t>Ortum de Las Craynas</t>
  </si>
  <si>
    <t>Orto suum fratrum</t>
  </si>
  <si>
    <t>Orto Peiruchonis Nigri d'Arcens</t>
  </si>
  <si>
    <t>Masoerii de Vina Torto</t>
  </si>
  <si>
    <t>Sitam in territorio vocato del Verne prope de desayas</t>
  </si>
  <si>
    <t>Terra Guillermet de Boscheto</t>
  </si>
  <si>
    <r>
      <t xml:space="preserve">Terra Petri </t>
    </r>
    <r>
      <rPr>
        <sz val="11"/>
        <color rgb="FF00B050"/>
        <rFont val="Calibri"/>
        <family val="2"/>
        <scheme val="minor"/>
      </rPr>
      <t>Ponscii</t>
    </r>
  </si>
  <si>
    <r>
      <t xml:space="preserve">Sitam in territorio vocato de </t>
    </r>
    <r>
      <rPr>
        <sz val="11"/>
        <color rgb="FF00B050"/>
        <rFont val="Calibri"/>
        <family val="2"/>
        <scheme val="minor"/>
      </rPr>
      <t>Baschicra</t>
    </r>
  </si>
  <si>
    <t>Terra Vitalis del Beal de Rivo Corto</t>
  </si>
  <si>
    <t>Palaya</t>
  </si>
  <si>
    <t>Matheus et Peyronus</t>
  </si>
  <si>
    <t>Chastanheno de Jannaco</t>
  </si>
  <si>
    <t>Page dure à lire</t>
  </si>
  <si>
    <t>Ouchia Pochaya de Jannat</t>
  </si>
  <si>
    <t>Terra Johannis et Johannis de la Garta</t>
  </si>
  <si>
    <t>Ortum + domum</t>
  </si>
  <si>
    <t>Guillermo Grosseti Servienti Devesseti</t>
  </si>
  <si>
    <t>Poncio d'Avenas</t>
  </si>
  <si>
    <t>Filius Panche del Chastanhier</t>
  </si>
  <si>
    <t>Del Chastanhier de Jannaco</t>
  </si>
  <si>
    <t>Del Chastanhier</t>
  </si>
  <si>
    <t>Sitam apud Lo Chascanheir de Jannat</t>
  </si>
  <si>
    <t>Sitam apud Lo Chastanheir de Jannaco</t>
  </si>
  <si>
    <t>Domo Mathei et Peyroni Palaye de Chastanerio</t>
  </si>
  <si>
    <t>Ouchia Pochaya de Jannat domicelli</t>
  </si>
  <si>
    <t>Croza de Hannat</t>
  </si>
  <si>
    <t>Masoerii del Mei Plant</t>
  </si>
  <si>
    <t>Ruotorto</t>
  </si>
  <si>
    <t>La Costa de Lagrenol de Riotort</t>
  </si>
  <si>
    <t>Terra Anthonii del Boschet de Rochabona</t>
  </si>
  <si>
    <t>Terra Guillermi del Boschet</t>
  </si>
  <si>
    <t>Petiam Costam de Boscharai</t>
  </si>
  <si>
    <t>Terra Vitalis del Beal (a duabus partibus)</t>
  </si>
  <si>
    <t>Petro d'Avenas</t>
  </si>
  <si>
    <t>Andree</t>
  </si>
  <si>
    <t>Filius Johanne Masnerii</t>
  </si>
  <si>
    <t>Parochie Sancti Martini de Valamas</t>
  </si>
  <si>
    <t>Mero et mixto imperio</t>
  </si>
  <si>
    <t>Las Sanhas</t>
  </si>
  <si>
    <t>Peda vinee</t>
  </si>
  <si>
    <t>Sitas in territorio de Las Sanhas</t>
  </si>
  <si>
    <t>Terra domini de Micheto</t>
  </si>
  <si>
    <t>Chadium Castri Novi</t>
  </si>
  <si>
    <t xml:space="preserve">Terra domini de Micheto </t>
  </si>
  <si>
    <t>Vinea domoni Castri Novi</t>
  </si>
  <si>
    <t>Terra Johannis Masnerii</t>
  </si>
  <si>
    <t>Terra Johannis Masnerii (a duabus partibus)</t>
  </si>
  <si>
    <t>Vinea Nicholay Rivi Tori (a duabus partibus)</t>
  </si>
  <si>
    <t>Vinea Johannis Filhastre Ruppe Bone</t>
  </si>
  <si>
    <t>Vinea Sancti Bolais Ruppe Bonis</t>
  </si>
  <si>
    <t>Vinea</t>
  </si>
  <si>
    <t>Infra fortalicum Devesseti</t>
  </si>
  <si>
    <t>Fratre Symone Lhantandi</t>
  </si>
  <si>
    <t>Fratre Petro Verhilati</t>
  </si>
  <si>
    <t>Fratre Johanne Verilhati</t>
  </si>
  <si>
    <t>Johannes Chardonelli</t>
  </si>
  <si>
    <t>Petro de Moreto</t>
  </si>
  <si>
    <t>Johanne Masnerii Acquisivit a Bernardo, Johanneto et Guillermo de Ruppe</t>
  </si>
  <si>
    <t>Fratre Symonius Bernardi</t>
  </si>
  <si>
    <t>Del Chastanheir de Jannac</t>
  </si>
  <si>
    <t>Filius Petri Chastaneir de Jannac</t>
  </si>
  <si>
    <t>Sitam apud Chastanheir de Jannac</t>
  </si>
  <si>
    <t>Sitam in loco de Chastanheir de Jannac</t>
  </si>
  <si>
    <t>Orto Mathei et Peyrononi Palayas de Jananc</t>
  </si>
  <si>
    <t>Johanno Lo Cordineir de Chaslario</t>
  </si>
  <si>
    <t>Fratre Johane Meruli Hospitalis</t>
  </si>
  <si>
    <t>Chapons</t>
  </si>
  <si>
    <t>Filius Guillermi Natalis de Chapons condam</t>
  </si>
  <si>
    <t>Situm apud Chapons in territorrio vocato de Las Vinhas</t>
  </si>
  <si>
    <t>Rivo de Chapons</t>
  </si>
  <si>
    <t>Prato Magristri Raymundi de Jannac notarii</t>
  </si>
  <si>
    <t>Apud Lo Chaslar, in domo Juliarii Sartoris</t>
  </si>
  <si>
    <t>Margarona</t>
  </si>
  <si>
    <t>Vintentii</t>
  </si>
  <si>
    <t>Filia Guillermi Vitentii de Chapius condam</t>
  </si>
  <si>
    <t>Nomine Ponchonis filii Johannis Vitentii de Chapons</t>
  </si>
  <si>
    <t>Situm in territorio de Las Vinhas de Chapons</t>
  </si>
  <si>
    <t>Prato Guillermi Coraterii Del Chaslar</t>
  </si>
  <si>
    <t>Prato Guillermi Goiraterii Del Chaslario</t>
  </si>
  <si>
    <t>Poncius et Hugo</t>
  </si>
  <si>
    <t>Chaslario</t>
  </si>
  <si>
    <t>Hugo filius Poncius</t>
  </si>
  <si>
    <t>Sitam apud Jannac, in territorio de Chastanhier</t>
  </si>
  <si>
    <t>Terra Johannis del Garda</t>
  </si>
  <si>
    <t>Orto Vitalis del Chastanhier</t>
  </si>
  <si>
    <t>In quam semmat qua dimidium M^C Bladi</t>
  </si>
  <si>
    <t>Apud Lo Chaslar, in domo Pincii Terrassa</t>
  </si>
  <si>
    <t>Johanos</t>
  </si>
  <si>
    <t>De Sancto Juliano in Boteria</t>
  </si>
  <si>
    <t>Sitam in territorio de Ruppe</t>
  </si>
  <si>
    <t>Rivo de Charnassac</t>
  </si>
  <si>
    <t>Vinea Raymundi de Sanna</t>
  </si>
  <si>
    <r>
      <rPr>
        <sz val="11"/>
        <color theme="9"/>
        <rFont val="Calibri"/>
        <family val="2"/>
        <scheme val="minor"/>
      </rPr>
      <t>Vinea</t>
    </r>
    <r>
      <rPr>
        <sz val="11"/>
        <color theme="1"/>
        <rFont val="Calibri"/>
        <family val="2"/>
        <scheme val="minor"/>
      </rPr>
      <t xml:space="preserve"> de Fayno</t>
    </r>
  </si>
  <si>
    <t>Apud Sanctum Agripavium, in domo Broscherii</t>
  </si>
  <si>
    <t>Poncio eius fratre</t>
  </si>
  <si>
    <t>Vilario</t>
  </si>
  <si>
    <t>Medietatem territorius</t>
  </si>
  <si>
    <t>Del Vilar</t>
  </si>
  <si>
    <r>
      <t xml:space="preserve">Rivo qui dessendit de Sancto Valico et </t>
    </r>
    <r>
      <rPr>
        <sz val="11"/>
        <color rgb="FFFF0000"/>
        <rFont val="Calibri"/>
        <family val="2"/>
        <scheme val="minor"/>
      </rPr>
      <t>Lantur</t>
    </r>
    <r>
      <rPr>
        <sz val="11"/>
        <color theme="1"/>
        <rFont val="Calibri"/>
        <family val="2"/>
        <scheme val="minor"/>
      </rPr>
      <t xml:space="preserve"> versus Lamastra</t>
    </r>
  </si>
  <si>
    <t>Territorio de La Ranselha</t>
  </si>
  <si>
    <r>
      <t xml:space="preserve">Territorio de </t>
    </r>
    <r>
      <rPr>
        <sz val="11"/>
        <color rgb="FFFF0000"/>
        <rFont val="Calibri"/>
        <family val="2"/>
        <scheme val="minor"/>
      </rPr>
      <t>Rissans</t>
    </r>
  </si>
  <si>
    <t>Medietate territorio del Vilar</t>
  </si>
  <si>
    <t>In compositione inter domus Devesseti et Guillermi de Pictano</t>
  </si>
  <si>
    <t>In compositione inter domus Devesseti et Guillermi de Romigeriis domicelli</t>
  </si>
  <si>
    <t>In compositione inter domus Devesseti et domini de Mastra</t>
  </si>
  <si>
    <t>Comme plus bas</t>
  </si>
  <si>
    <t>Duorum Fratrum</t>
  </si>
  <si>
    <t>Filius Guigone de Vilario condam</t>
  </si>
  <si>
    <t>De Vilario</t>
  </si>
  <si>
    <t>Apud Lo Vilar, in domo fratrum de Vilario</t>
  </si>
  <si>
    <t>Quartam partem loci et territorii del Vilar</t>
  </si>
  <si>
    <t>oui</t>
  </si>
  <si>
    <t>Verilha</t>
  </si>
  <si>
    <t>Duneria</t>
  </si>
  <si>
    <t>Ruppe</t>
  </si>
  <si>
    <t>Fratres</t>
  </si>
  <si>
    <t>Las Charals</t>
  </si>
  <si>
    <t>Pererio</t>
  </si>
  <si>
    <t>De Croso de Fontaynas</t>
  </si>
  <si>
    <t>Croso de Fontaynas</t>
  </si>
  <si>
    <t>Ouchiam</t>
  </si>
  <si>
    <t>Recto domus eorum</t>
  </si>
  <si>
    <t>Pomerio</t>
  </si>
  <si>
    <t>Sitam apud la Rocha</t>
  </si>
  <si>
    <t>Juxta ortum Dens Verilhas</t>
  </si>
  <si>
    <t>Dens Mais</t>
  </si>
  <si>
    <t>Petiam Armandi de Ruppe</t>
  </si>
  <si>
    <t>Subtus petiam vicatam de Lalayso</t>
  </si>
  <si>
    <t>De Molendino de la Pansayra</t>
  </si>
  <si>
    <t>De Prato Retondo</t>
  </si>
  <si>
    <t>Juxta pratum de Prareont</t>
  </si>
  <si>
    <t>Juxta pratum Del Brut</t>
  </si>
  <si>
    <t>Ante domum de Lasguezas</t>
  </si>
  <si>
    <t>Dens Pasturals</t>
  </si>
  <si>
    <t>Las Sanholas</t>
  </si>
  <si>
    <t>De la cros de Vasal</t>
  </si>
  <si>
    <t>De Sanha Laures</t>
  </si>
  <si>
    <t>Cumba Sola</t>
  </si>
  <si>
    <t>Comenialait</t>
  </si>
  <si>
    <t>In summitatem</t>
  </si>
  <si>
    <t>Las Prinalha</t>
  </si>
  <si>
    <t>Juxta pratum Dens Pupartz</t>
  </si>
  <si>
    <t>Fontaynas</t>
  </si>
  <si>
    <t>Juxta nemus de Sanna</t>
  </si>
  <si>
    <t>Territorio de Ruppe</t>
  </si>
  <si>
    <t>Pathegnes</t>
  </si>
  <si>
    <t>Loci de Ruppe</t>
  </si>
  <si>
    <t>Martine uxor Petri</t>
  </si>
  <si>
    <t>Prata, pasturalia, nemora et terras</t>
  </si>
  <si>
    <t>Tenementum de Ruppe</t>
  </si>
  <si>
    <t>Pethegnes dicti loci + Censu de Pupart + possessiones Martine uxor Petri</t>
  </si>
  <si>
    <t>12 petiae + 6 prati + 2 orti + 1 domum + 1 ouchia + 1 garaitum + 1 nemus + possessiones Martine uxor Petri</t>
  </si>
  <si>
    <t>Cens en seigle (Carteria)</t>
  </si>
  <si>
    <t>Cens en seigle (en carta)</t>
  </si>
  <si>
    <t>Stephanis</t>
  </si>
  <si>
    <t>Raspant</t>
  </si>
  <si>
    <t>Medietatem petiam</t>
  </si>
  <si>
    <t>Medietatem terre</t>
  </si>
  <si>
    <t>Las Cardinas</t>
  </si>
  <si>
    <t>Medietatem nemoris</t>
  </si>
  <si>
    <t>De Croso</t>
  </si>
  <si>
    <t>Ut tenementi pro se et nomine quo supra</t>
  </si>
  <si>
    <t>De Crozo</t>
  </si>
  <si>
    <t>Domo Johanne filie Guillermi Bercheri</t>
  </si>
  <si>
    <t>Lo Clapo del Brust</t>
  </si>
  <si>
    <t>Del Sanzer</t>
  </si>
  <si>
    <t>De Prato Rotondo</t>
  </si>
  <si>
    <t>De Supra Laribassa</t>
  </si>
  <si>
    <t>De Leira</t>
  </si>
  <si>
    <t>De la Rocha</t>
  </si>
  <si>
    <t>De Tartaruc</t>
  </si>
  <si>
    <t>Apud la Rocha et in eius territorio</t>
  </si>
  <si>
    <t>6 petiam + 1 nemus + 1 domum + 1 partem patile commune</t>
  </si>
  <si>
    <t>Medietatem petiam + medietatem terris + medietatem nemoris</t>
  </si>
  <si>
    <t>Pupardo</t>
  </si>
  <si>
    <t>De mandamentum et infra mandamentum et de juridictione domus Devesseti</t>
  </si>
  <si>
    <t>De mandamentum et juridictione domus Devesseti</t>
  </si>
  <si>
    <t>Roerii</t>
  </si>
  <si>
    <t>Del Pinet</t>
  </si>
  <si>
    <t>De Sanha Lacgier</t>
  </si>
  <si>
    <t>De Las Sanhalas</t>
  </si>
  <si>
    <t>Del Silh de Laribassa</t>
  </si>
  <si>
    <t>De Comemalar</t>
  </si>
  <si>
    <t>De Prato Rotendo</t>
  </si>
  <si>
    <t>De Salvaneschas</t>
  </si>
  <si>
    <t>De Tensonio</t>
  </si>
  <si>
    <t>De Ruppe Forti</t>
  </si>
  <si>
    <t>De Cartarut</t>
  </si>
  <si>
    <t>De juridictione omnimoda et de mandamentum castri Devesseti</t>
  </si>
  <si>
    <t>De juridictione omnimoda et de mandamentum domus Devesseti</t>
  </si>
  <si>
    <t>Sitam apud Ruppe</t>
  </si>
  <si>
    <t>Petia de Leria filiari</t>
  </si>
  <si>
    <t xml:space="preserve">Quod acquisivit a fratre Petro de Casalibus </t>
  </si>
  <si>
    <t>Via publica qua itur de Devesseto versus Locrostel</t>
  </si>
  <si>
    <t>Orto heredum Poncii Monreal</t>
  </si>
  <si>
    <t>Quod abuit a dicta La Jalaa</t>
  </si>
  <si>
    <t>Prato domus de la Suachas</t>
  </si>
  <si>
    <t>Ortis Brunelorum</t>
  </si>
  <si>
    <t>Monaie (sous) Viennois</t>
  </si>
  <si>
    <t>Sous Viennois</t>
  </si>
  <si>
    <t>Prato heredum Michaelis Salvaynh</t>
  </si>
  <si>
    <t>Quod aquisivit a vocata Martina</t>
  </si>
  <si>
    <t>Prato de Donezo domini preceptoris</t>
  </si>
  <si>
    <t>Prato Gregorii Ferrandi</t>
  </si>
  <si>
    <t>Partem pasturalium communum</t>
  </si>
  <si>
    <t>Las Putetas</t>
  </si>
  <si>
    <t>Quam habuit a Blancheta Morala et a Pelaprat condam</t>
  </si>
  <si>
    <t>Sitam apud Villam Novam Devesseti</t>
  </si>
  <si>
    <t>Domo Poncii Monreal condam</t>
  </si>
  <si>
    <t>Carreria publica de Crostello</t>
  </si>
  <si>
    <t>Orto suo Johannes Roerii de Ruppe habuit a uxoris Petri de Croso condam</t>
  </si>
  <si>
    <t>Mesure non précisée</t>
  </si>
  <si>
    <t>Homines-licgius et mulieres-licgia, justitabiles et expletabiles</t>
  </si>
  <si>
    <t>Frères + femmes</t>
  </si>
  <si>
    <t>Calhaissa</t>
  </si>
  <si>
    <t>Tempore quo badam facere in eadem quod dominis preceptoris hec ibididem quartum bladorum ibidem ex cercensium prout in aliis terris cartinis mandamendti sui Devesseti percipere confuenit</t>
  </si>
  <si>
    <t>Devesset, in estis ante cameram domini preceptoris</t>
  </si>
  <si>
    <t>Compatoris</t>
  </si>
  <si>
    <t>Sancto Agrippavio</t>
  </si>
  <si>
    <t>Fonte</t>
  </si>
  <si>
    <t>Nomine Caterine de Villa Novo eius uxoris</t>
  </si>
  <si>
    <t>Femme + enfants</t>
  </si>
  <si>
    <t>Apud Villa Nova Devesseti</t>
  </si>
  <si>
    <t>Domibus suum</t>
  </si>
  <si>
    <t>Careiis publicis Ville Nove</t>
  </si>
  <si>
    <t>Prato Dens Brunens</t>
  </si>
  <si>
    <t>Qui fuit Johannete de Fores</t>
  </si>
  <si>
    <t>Carrerra publica qua itur de Devesseto versus crostellum</t>
  </si>
  <si>
    <t>Orto Johannis Malrorii</t>
  </si>
  <si>
    <t>Situm apud Dinesonem</t>
  </si>
  <si>
    <t>Prata domus Devesseti</t>
  </si>
  <si>
    <t>Situm apud La Garnaa</t>
  </si>
  <si>
    <t>Prato Petri Bachirii</t>
  </si>
  <si>
    <t>Prato vocati Garaitonis</t>
  </si>
  <si>
    <t>Duorum prati</t>
  </si>
  <si>
    <t>Domo, chambro, grangia uxoris sue et orto contiguo ortis qui habuit a dicta Jalaa</t>
  </si>
  <si>
    <t>Ortis</t>
  </si>
  <si>
    <t>Que habuit a dicta Janaa</t>
  </si>
  <si>
    <t>Partem pasturale</t>
  </si>
  <si>
    <t>Nondum densum</t>
  </si>
  <si>
    <t>Ouchia</t>
  </si>
  <si>
    <t>Uxoris sue</t>
  </si>
  <si>
    <t>Que in parte duit de Laiala</t>
  </si>
  <si>
    <t>Via qua itur de Villa Nova versus Boschetum</t>
  </si>
  <si>
    <t>Via qua itur Boscheto versus domum Armandeti de Garaitz condam</t>
  </si>
  <si>
    <t>Via publicam qua monet de Villanova et vadit versus Las Puteas</t>
  </si>
  <si>
    <t>Terra Johannis Garaito</t>
  </si>
  <si>
    <t>Peyruchonis Vacherii</t>
  </si>
  <si>
    <t>De Talhaessa</t>
  </si>
  <si>
    <t>Quod habet idem Johannes cum illis de miasfreschas</t>
  </si>
  <si>
    <t>Nemore de Cumba Menuzlh</t>
  </si>
  <si>
    <t>Nemore de La Focha</t>
  </si>
  <si>
    <t>Nemore de Chayneto</t>
  </si>
  <si>
    <t>Quod aquisivit a Johanneta Trona</t>
  </si>
  <si>
    <t>Prato domini preceptoris</t>
  </si>
  <si>
    <t>Prato Johannis Jordanonis</t>
  </si>
  <si>
    <t>Quem aquisivit de la Filha</t>
  </si>
  <si>
    <t>Grangia sua</t>
  </si>
  <si>
    <t>Ouchia garaitonis</t>
  </si>
  <si>
    <t>Quod aquisivit a la Viletona</t>
  </si>
  <si>
    <t>Pratum vocatum Jordan</t>
  </si>
  <si>
    <t>Prato Guigoneti Fabri de Villanova</t>
  </si>
  <si>
    <t>Orto Johannis Jordani</t>
  </si>
  <si>
    <t>Via qua itur de doma vocati Armandi versus la Fontetas</t>
  </si>
  <si>
    <t>Que Aquisivit de Andree De Spaetis</t>
  </si>
  <si>
    <t>Sita in loco de Spaetis</t>
  </si>
  <si>
    <t>Prato Andree Vocato Del Betz</t>
  </si>
  <si>
    <t>Terra dicte domus</t>
  </si>
  <si>
    <t>Situm in loco de Spaetis</t>
  </si>
  <si>
    <t>Via qua itur de Devesseto versus Vacharessas media</t>
  </si>
  <si>
    <t>Blacha heredum Johannis de Spaetis</t>
  </si>
  <si>
    <t>Blacha</t>
  </si>
  <si>
    <t>Nemus sive blachia et ouchias</t>
  </si>
  <si>
    <t>Situm apud Ceisonera</t>
  </si>
  <si>
    <t>Rivo quod labitur Ayga Neira</t>
  </si>
  <si>
    <t>Prato Mathei de Jalibertis</t>
  </si>
  <si>
    <t>Quod aquisivit de Andree de Jalibertis</t>
  </si>
  <si>
    <t>Blachia</t>
  </si>
  <si>
    <t>Filius Petri Albi del Mastortet</t>
  </si>
  <si>
    <t>Sitas in manso del Mastortet</t>
  </si>
  <si>
    <t>Carreria publica loci de Mastortet</t>
  </si>
  <si>
    <t>Domos Palhenchas</t>
  </si>
  <si>
    <t>Domum Teulenhas</t>
  </si>
  <si>
    <t>Carreria publica del Mastortet</t>
  </si>
  <si>
    <t>Suis domibus palhenchas</t>
  </si>
  <si>
    <t>Terra Bertrandi de Larbre</t>
  </si>
  <si>
    <t>Las Rialhas</t>
  </si>
  <si>
    <t>Nemore de Salemniaco</t>
  </si>
  <si>
    <t>Terra Girandi de Larbre</t>
  </si>
  <si>
    <t>De Las Pineas</t>
  </si>
  <si>
    <t>Nemore Johannis de Arbore</t>
  </si>
  <si>
    <t>Lestraa</t>
  </si>
  <si>
    <t>Petia Lhantayro</t>
  </si>
  <si>
    <t>Domibus teulenhas Dur' Albi</t>
  </si>
  <si>
    <t>Prata Soteira</t>
  </si>
  <si>
    <t>Petia Bertrandi de Arbore</t>
  </si>
  <si>
    <t>Los Prahals</t>
  </si>
  <si>
    <t>Prato Staphani Lhanterii</t>
  </si>
  <si>
    <t>Del Janebre</t>
  </si>
  <si>
    <t>Petia Johannis de Arbore</t>
  </si>
  <si>
    <t>Terra Bertrandi de Arbore</t>
  </si>
  <si>
    <t>Terra del mont Saynt Marti</t>
  </si>
  <si>
    <t>Dens Clotz</t>
  </si>
  <si>
    <t>Via qua itur de una versus Mendigolas (a duabus partibus)</t>
  </si>
  <si>
    <t>Via qua itur Del Mastortet versus Lagarda</t>
  </si>
  <si>
    <t>Lagarda</t>
  </si>
  <si>
    <t>Nemore Durandi Albi</t>
  </si>
  <si>
    <t>Terra Durandi Albi</t>
  </si>
  <si>
    <t>Pratis Durandi Albi</t>
  </si>
  <si>
    <t>Sanha vocata Rotonda Durandi Albi quam tenet a domino Aniciensis episcopo</t>
  </si>
  <si>
    <t>Petiis terre Durandi Albi</t>
  </si>
  <si>
    <t>Sitam in territorio Podii de duabus sorors</t>
  </si>
  <si>
    <t>Terra domine de la Valeta</t>
  </si>
  <si>
    <t>Terra Durandi Albi quam dixit a domino preceptore</t>
  </si>
  <si>
    <t>Sitam apud Las Peirozas</t>
  </si>
  <si>
    <t>Ortis Martini de Arbore</t>
  </si>
  <si>
    <t>Carreria qua itur del Mastortet versus Mendigolas</t>
  </si>
  <si>
    <t>Quadam petia Lo Lhantens</t>
  </si>
  <si>
    <t>2 domos + ortum + 7 terram + 3 petiam + 1 pasturala + prata</t>
  </si>
  <si>
    <t>Fin redevance pas lisible</t>
  </si>
  <si>
    <t>Situm apud Lavileta</t>
  </si>
  <si>
    <t>Sitos in manso de la Vileta</t>
  </si>
  <si>
    <t>La Vileta</t>
  </si>
  <si>
    <t>Sitam in loco de la Vileta</t>
  </si>
  <si>
    <t>Situm apud la Vileta</t>
  </si>
  <si>
    <t>Juxta ouchiam Mathei de la Coasta</t>
  </si>
  <si>
    <t>Del Pi</t>
  </si>
  <si>
    <t>Del Betz</t>
  </si>
  <si>
    <t>De La Costa Dens Pras</t>
  </si>
  <si>
    <t>Sitam supra pratum suum</t>
  </si>
  <si>
    <t>Del Pereir</t>
  </si>
  <si>
    <t>Cari Dens Pis</t>
  </si>
  <si>
    <t>Chabanas</t>
  </si>
  <si>
    <t>Duabus prati</t>
  </si>
  <si>
    <t>Manso et territorio de la Vileta</t>
  </si>
  <si>
    <t>De mandamento et juridictione et de mandamentum castri seu domus Devesseti</t>
  </si>
  <si>
    <t>Site in Manso et territorio de la Vileta</t>
  </si>
  <si>
    <t>Terra mansi de Malaval</t>
  </si>
  <si>
    <t>Terra mansi de Pererio</t>
  </si>
  <si>
    <t>Al' Malpinha</t>
  </si>
  <si>
    <t>Petro de Mentalonel</t>
  </si>
  <si>
    <t>1 ortos + 6 petiae + 2 prati + 1 casale + ouchiam + possessiones</t>
  </si>
  <si>
    <t>Casale + duabus prati</t>
  </si>
  <si>
    <t>Armandono</t>
  </si>
  <si>
    <t>De la Chalin</t>
  </si>
  <si>
    <t>Homo-licgius et justitiabilis</t>
  </si>
  <si>
    <t>Nomine Benssor Bocharde eius uxoris filis condam Vitalis Bochardi</t>
  </si>
  <si>
    <t>Nomine Pastoris eius uxoris</t>
  </si>
  <si>
    <t>Sitam in manso de Rhilato</t>
  </si>
  <si>
    <t>Via qua itur de Fonte Triberta versus Riliaco</t>
  </si>
  <si>
    <t>Terra illorum homines de Rilhaco</t>
  </si>
  <si>
    <t>Borneta</t>
  </si>
  <si>
    <t>Terra Gerentonis Romni de Sancto Agrippavio quam tenet a priore de Maschanilha</t>
  </si>
  <si>
    <t>Pratis Bressone quod tenet a priore de Maschanilha</t>
  </si>
  <si>
    <t>Ruppis de Bonpas</t>
  </si>
  <si>
    <t>Terra Gerentonis Ronirii quam tenet a priore de Maschanilha</t>
  </si>
  <si>
    <t>Itinere publico per quod itur de sancto Romano versus Lo Posat</t>
  </si>
  <si>
    <t>Situm in territorio de Ruppe</t>
  </si>
  <si>
    <t>Terra heredum Mathei Blayrant de Ruppe</t>
  </si>
  <si>
    <t>Nemore heredum Petri de Famia de Sancto Agrippavio</t>
  </si>
  <si>
    <t>Rivo de Sahna</t>
  </si>
  <si>
    <t>Neus + terra + prata</t>
  </si>
  <si>
    <t>Bayalam pasturali</t>
  </si>
  <si>
    <t>De mandamentum et infra mandamentum et juridictionem omnimoda castri Devesseti</t>
  </si>
  <si>
    <t>Symondus</t>
  </si>
  <si>
    <t>Nomine Symundi eius filii et aliorum liberorum ipsius Symundi + Vitalis Bochardi</t>
  </si>
  <si>
    <t>Sitam apud Rilhac</t>
  </si>
  <si>
    <t>Terra hominum de Rilhaco</t>
  </si>
  <si>
    <t>Via qua itur de Fonte Aiberta versus Rilhacum</t>
  </si>
  <si>
    <t>Via vetere que monit de Rilhaco Transcerendo per arborem de Lalieir et versit versus Font de Rilhaco</t>
  </si>
  <si>
    <t>Via que monet de Rilhaco et vadit versus Fontem de Rialhaco transcerendi per Arborem de Lalier</t>
  </si>
  <si>
    <t>De Borneta</t>
  </si>
  <si>
    <t>Pratis Bressone anuncule dictorum liberorum quodam rivio medio</t>
  </si>
  <si>
    <t>itinere quo itur de Sancto Romano versus Lo Pozat</t>
  </si>
  <si>
    <t>Rilhac</t>
  </si>
  <si>
    <t>Prato heredum Mathei Duneria</t>
  </si>
  <si>
    <t>Rivo de Sabonia</t>
  </si>
  <si>
    <t>Nemorum Mathei Duneria de Ruppe condam</t>
  </si>
  <si>
    <t>[…] inter clisis</t>
  </si>
  <si>
    <t>Quas habuit a Petronilla uxoris Johannis de Rilhac et Girando de Rilhac</t>
  </si>
  <si>
    <t>Tenementum + prato + terris + nemus</t>
  </si>
  <si>
    <t>De juridictione omnimoda et de mandamento domus Devesseti</t>
  </si>
  <si>
    <t>Andree de La Vileta</t>
  </si>
  <si>
    <t>G. Guadelli</t>
  </si>
  <si>
    <t>Petro filio Bernardo magistri de Chanieto</t>
  </si>
  <si>
    <t>Sanna</t>
  </si>
  <si>
    <t>Bernardus</t>
  </si>
  <si>
    <t>De Sanna</t>
  </si>
  <si>
    <t>Nobilis viri</t>
  </si>
  <si>
    <t>Gondomius eius filius</t>
  </si>
  <si>
    <t>Alta et bassa mero et mixto imperio</t>
  </si>
  <si>
    <t>De et sub omnimoda juridictione castri Devesseti</t>
  </si>
  <si>
    <t>Del Coynh Dens Yrissas</t>
  </si>
  <si>
    <t>Terra liberorum Bernardi de Aulanherio condam</t>
  </si>
  <si>
    <t>Terris de Freydas pares</t>
  </si>
  <si>
    <t>Sextam partem petiem terre</t>
  </si>
  <si>
    <t>En Aureat</t>
  </si>
  <si>
    <t>Terra Dens Brus</t>
  </si>
  <si>
    <t>Strata per quam vaivit gentes de Sancto Agrippavio versus Raschassat</t>
  </si>
  <si>
    <t>Alfiert Fanet</t>
  </si>
  <si>
    <t>Antiquo Fonte de la Nonta</t>
  </si>
  <si>
    <t>Ouchia vocata de Conort condam</t>
  </si>
  <si>
    <t>Terra Hospitalis Sancti Agrippavium</t>
  </si>
  <si>
    <t>Trino de Petra Chana</t>
  </si>
  <si>
    <t>In Aureat</t>
  </si>
  <si>
    <t>Terra Dens Aiberiis</t>
  </si>
  <si>
    <t>Terra torio de Lanonta</t>
  </si>
  <si>
    <t>Garaito suo de Chalmetis</t>
  </si>
  <si>
    <t>Terris de Colongia liberorum Poncii de Lachabana condam</t>
  </si>
  <si>
    <t>Terra liberorum Staphani Craussat condam</t>
  </si>
  <si>
    <t>Confront 6</t>
  </si>
  <si>
    <t>Terris de Ariberuorum et Dens Brus</t>
  </si>
  <si>
    <t>In Chalayosas</t>
  </si>
  <si>
    <t>Terra Aribuorum</t>
  </si>
  <si>
    <t>Terris de Raschassat heredum Poncii Blacho</t>
  </si>
  <si>
    <t>Diruit quidam Rimilus qui oritur in pratis de Raschassat et vadit Ferire a magnum rivum de Raschassat</t>
  </si>
  <si>
    <t>Terra liberorum Girandi Brunii de Chalmetis</t>
  </si>
  <si>
    <t>En Chalni Michana</t>
  </si>
  <si>
    <t>Ariberius</t>
  </si>
  <si>
    <t>terra liberorum Brunii</t>
  </si>
  <si>
    <t>Poncii Brunii condam</t>
  </si>
  <si>
    <t>Las Teuleyras</t>
  </si>
  <si>
    <t>Terra ecclesie Sancti Agrippavii</t>
  </si>
  <si>
    <t>Terra Girandi brunii</t>
  </si>
  <si>
    <t>Terra Poncii et Guillermi Brunii de Chalmetis</t>
  </si>
  <si>
    <t>In Cumbale de La Charre</t>
  </si>
  <si>
    <t>Terra Bertrandi de Chalmetis et Gakkant de La Chapela</t>
  </si>
  <si>
    <t>Terra Petris et filii</t>
  </si>
  <si>
    <t>Partem quam herit in facia de Ladreit de Serencha</t>
  </si>
  <si>
    <t>Medietates dicte faicie et duas partes Faycie de Socheria</t>
  </si>
  <si>
    <t>Sita In Cumbale de Las Tenberras</t>
  </si>
  <si>
    <t>Tenent liberii Girandi Brunii de Chalmetis condam</t>
  </si>
  <si>
    <t>Terra suo</t>
  </si>
  <si>
    <t>Terris suis</t>
  </si>
  <si>
    <t>En Lausa</t>
  </si>
  <si>
    <t>Acua liberi Petronille de La Chapella condam</t>
  </si>
  <si>
    <t>Rivo de Las Teuleyras</t>
  </si>
  <si>
    <t>In nemore del Rochaynh</t>
  </si>
  <si>
    <t>In nemore seu terris de Gaisart</t>
  </si>
  <si>
    <t>Blairant</t>
  </si>
  <si>
    <t>Tenleyras</t>
  </si>
  <si>
    <t>Rivum de Graisart</t>
  </si>
  <si>
    <t>Pratum quod erat Bertrandi de Capella condam</t>
  </si>
  <si>
    <t>Id quod habent in sanha Molendini</t>
  </si>
  <si>
    <t xml:space="preserve">Omnes res et possessiones ac proprietates </t>
  </si>
  <si>
    <t>Quas tenebant ab eis Bonitus de Lernert condam in territorio de Chalmetis</t>
  </si>
  <si>
    <t>In orteto del Prat Scibeira</t>
  </si>
  <si>
    <t>Qua tenebant ab eis Martinus Brunii et eis fratres condam</t>
  </si>
  <si>
    <t xml:space="preserve">Pacto que erant inter domini Raymundum de Sanna militem patrem dicti Raymundi condam ex parte una et domini Armandum de Retortorio militem condam ex parte altera </t>
  </si>
  <si>
    <t>Sextam partem petiam terre + 9 petiam terre + partem in facia + 3 possessiones + 1 pratum</t>
  </si>
  <si>
    <t>Devesset, sub estras</t>
  </si>
  <si>
    <t>Mandono de Flossac domicelli</t>
  </si>
  <si>
    <t>Brannac</t>
  </si>
  <si>
    <t>Juillet</t>
  </si>
  <si>
    <t>Sitas apud La Vileta</t>
  </si>
  <si>
    <t>Sitam recto domum Mathei et Martini de Costa</t>
  </si>
  <si>
    <t>De Prato Conlie</t>
  </si>
  <si>
    <t>La Costa Dens Pras</t>
  </si>
  <si>
    <t>Sitam duo nemora de La Vileta</t>
  </si>
  <si>
    <t>Petia sua</t>
  </si>
  <si>
    <t>P[…]o</t>
  </si>
  <si>
    <t>Petiam Sancti Martini</t>
  </si>
  <si>
    <t>De Sanha Brunel</t>
  </si>
  <si>
    <t>De Chabanas</t>
  </si>
  <si>
    <t>La Cela</t>
  </si>
  <si>
    <t>Juxta […] de la Roneir</t>
  </si>
  <si>
    <t>Del […] vel de Layra</t>
  </si>
  <si>
    <t>Dens Pras</t>
  </si>
  <si>
    <t>Domos + duabus prati</t>
  </si>
  <si>
    <t>8 petiae + 1 ouchia + domos + 1 nemus + 2 prati</t>
  </si>
  <si>
    <t>De Costa chaulet</t>
  </si>
  <si>
    <t>De Ruppe Triba</t>
  </si>
  <si>
    <t>Pessetam</t>
  </si>
  <si>
    <t>De Las Sanholas</t>
  </si>
  <si>
    <t>Quam Emenunt a Johanne de Ailhac et eius uxoris</t>
  </si>
  <si>
    <t>Ville de Ruppe</t>
  </si>
  <si>
    <t>Sita sunt in territorio de Ruppe</t>
  </si>
  <si>
    <t>Censu</t>
  </si>
  <si>
    <t>De mandamento et juridictione domus Devesseti</t>
  </si>
  <si>
    <t>Apparemment cens qeu pour Jean de Rilhac</t>
  </si>
  <si>
    <t>Jean et Girandus de Rilhac sunt fratres + Armandus de Ruppe filius Petri de Ruppe + Johanetta fillia Guillermi de Ruppe</t>
  </si>
  <si>
    <t>Guilhermus + Jean et Girandus + Michael et Blancha + Armandus + Durandus et Vitalis + Johanneta + Guillermus + Johannes + Stephanus</t>
  </si>
  <si>
    <t>Devesset, in camera fratris Johannis Meruli</t>
  </si>
  <si>
    <t>Frère + femme + beau-frère</t>
  </si>
  <si>
    <t>2 nemus + partem patilius + passetam</t>
  </si>
  <si>
    <t>Passetae</t>
  </si>
  <si>
    <t>De Flossac</t>
  </si>
  <si>
    <t>Flossac</t>
  </si>
  <si>
    <t>Domicellis</t>
  </si>
  <si>
    <t>Castri Banno, excepto quod ad ispium pertin ere quod idem dominis preceptor non tradit ymo penitus ignorat</t>
  </si>
  <si>
    <t>Terris castri Devesseti</t>
  </si>
  <si>
    <t>Terra catri Veteri Sarmati</t>
  </si>
  <si>
    <t>Terri castri Devesseti</t>
  </si>
  <si>
    <t>De Manso de Sucoo</t>
  </si>
  <si>
    <t>Terra Beatris de Macello</t>
  </si>
  <si>
    <t>Terra qua tenet a domino Bestid</t>
  </si>
  <si>
    <t>Prato et terris suis</t>
  </si>
  <si>
    <t>Redevance à Devesset</t>
  </si>
  <si>
    <t>Promisit esse bonus et fidelis castri Devesseti</t>
  </si>
  <si>
    <t>Andree Garalis norarii regis</t>
  </si>
  <si>
    <t>[…] de Chalmetis sive de Sanna</t>
  </si>
  <si>
    <t>2 pratum + pasturale + terre</t>
  </si>
  <si>
    <t>Mondinus</t>
  </si>
  <si>
    <t>Beals</t>
  </si>
  <si>
    <t>Sitas in loco de la Brossa</t>
  </si>
  <si>
    <t>Sitos in loco de la Brossa</t>
  </si>
  <si>
    <t>De la Brossa</t>
  </si>
  <si>
    <t>La Brossa</t>
  </si>
  <si>
    <t>De juridictione mandamento et in mandamentum castri Devesseti</t>
  </si>
  <si>
    <t>Via qua itur de la Bercoza versus Plafay</t>
  </si>
  <si>
    <t>Strata publica per quam itur de Plafayno versus la Pasaa de la Torta sequendo recto itinere</t>
  </si>
  <si>
    <t>Pratis Dens Montalerius</t>
  </si>
  <si>
    <t>Prato Guillermi Malagaita de novo assensaco</t>
  </si>
  <si>
    <t>Quod dictus Guillermus aquisivit a Matheo filio vocate Troma et deinde pretenditur</t>
  </si>
  <si>
    <t>Una broa pasturaliam de Champoleiras</t>
  </si>
  <si>
    <t>La Passaa vocata del Pedalanar des Chas</t>
  </si>
  <si>
    <t>In territorio de la Brossa</t>
  </si>
  <si>
    <t>Infro dictos confines situata et pasturalia</t>
  </si>
  <si>
    <t>De Mondeiras sive de Plafayno</t>
  </si>
  <si>
    <t>Cum Creisensis non est diu contignatus</t>
  </si>
  <si>
    <t>Terra grangiacgii de Chauleto</t>
  </si>
  <si>
    <t>De Latrona</t>
  </si>
  <si>
    <t>De Latrona et de Mondeiras sive de Plafayno</t>
  </si>
  <si>
    <t>Situm in nemore de Chalmariais</t>
  </si>
  <si>
    <t>Nemore Jacmete uxoris Thome Chanilenant</t>
  </si>
  <si>
    <t>Pastayracgium</t>
  </si>
  <si>
    <t>Quo habet un calme de Lomas Sanhas et de Alanar des Chas et de Champoleiras et etiam de Las Puteas</t>
  </si>
  <si>
    <t>Domos + ortos + tenementum + 3 prata + nemus + pastayracgium + perterum</t>
  </si>
  <si>
    <t>Ortis + prata + nemus + calma + prix notaire</t>
  </si>
  <si>
    <t>Constat in notarii de inter limacura</t>
  </si>
  <si>
    <t>Guillermo Badelli sive Garaito</t>
  </si>
  <si>
    <t>Durandus</t>
  </si>
  <si>
    <t>De Croseto</t>
  </si>
  <si>
    <t>Sitam apud Ruela</t>
  </si>
  <si>
    <t>Domo Andree de Ruela</t>
  </si>
  <si>
    <t>Domo Girandi de Ruela</t>
  </si>
  <si>
    <t>Situm apud Ruela</t>
  </si>
  <si>
    <t>Orto Girandi de Ruela</t>
  </si>
  <si>
    <t>De Lalieir</t>
  </si>
  <si>
    <t>Via qua itur de Ruela versus Bergias</t>
  </si>
  <si>
    <t>Ouchia vocata de Lissarco</t>
  </si>
  <si>
    <t>Partem pasturali</t>
  </si>
  <si>
    <t>Del Sanhatz</t>
  </si>
  <si>
    <t>Partem pratorum</t>
  </si>
  <si>
    <t>Cumba Corta</t>
  </si>
  <si>
    <t>Terra mansi de Tensana</t>
  </si>
  <si>
    <t>Partem pasturali et pratorum</t>
  </si>
  <si>
    <t>Las Cras</t>
  </si>
  <si>
    <t>Terra mansi de Tansano</t>
  </si>
  <si>
    <t>Pasturale Girandi de Ruela</t>
  </si>
  <si>
    <t>Prato Girandi de Ruela</t>
  </si>
  <si>
    <t>De Subtus La Passaa</t>
  </si>
  <si>
    <t>Terra mansi de Tansa</t>
  </si>
  <si>
    <t>Domum + partem pasturale + partem pasturale et pratorum + duorum prati + pasturalibus + partem pasturalium communum</t>
  </si>
  <si>
    <t>Terra Belli Prandii</t>
  </si>
  <si>
    <t>Terra mansi de Tensa</t>
  </si>
  <si>
    <t>Domum + ortum + ouchiam + 2 prati + 2 partem pasturale + 1 partem prati + 1 patem pasturalium communum + pasturalibus</t>
  </si>
  <si>
    <t>In mandamentum et de mandamento castri Devesseti</t>
  </si>
  <si>
    <t>Poncio Raynaudi de Ruppe Paula</t>
  </si>
  <si>
    <t>De Unario</t>
  </si>
  <si>
    <t>Filius Guigonis Unario condam</t>
  </si>
  <si>
    <t>Unario</t>
  </si>
  <si>
    <t>Partem [-]rii</t>
  </si>
  <si>
    <t>Partum [-]rii</t>
  </si>
  <si>
    <t>Quadam compositione ?</t>
  </si>
  <si>
    <t>Jacobo del Ferre Sartori parrochie Sancti Baschi</t>
  </si>
  <si>
    <t>De Ruppeta + de Verneto + de la Rocheta</t>
  </si>
  <si>
    <t>Johanenus de la Rocheta filius Guigonis de la Rocheta condam</t>
  </si>
  <si>
    <t>Bchi' + Bonafides, Peyronetus, Guigo et Vialonus + Matheus et Johanenus</t>
  </si>
  <si>
    <t>Chastanherum</t>
  </si>
  <si>
    <t>Verneto</t>
  </si>
  <si>
    <t>Pro indiviso cum viro nobili et pontenti domino Jaucerando domino Sancti Desiderii et castri de Mastra milite</t>
  </si>
  <si>
    <t>Compositione olim facta per religiosus virum fratrum Artaudum Elie preceptoris Devesseti condam et Petro de Mastra domino dicti castri de Mastra</t>
  </si>
  <si>
    <t>Terra priotatus mansi Canillari (a parte superiori)</t>
  </si>
  <si>
    <t>Petia terre stephani de Verneto appelata de Las Vesseiras</t>
  </si>
  <si>
    <t>A pede dicti chastanerii cum terra Bonafidei de Verneto et orto Clementis de Verneto condam</t>
  </si>
  <si>
    <t>Prato Bonafidei et Petri de Verneto fratrum</t>
  </si>
  <si>
    <t>Chastanerii</t>
  </si>
  <si>
    <t>Chastanerium</t>
  </si>
  <si>
    <t>Cens en castanearium (carteria)</t>
  </si>
  <si>
    <t>Cens en uncleorum (carta)</t>
  </si>
  <si>
    <t>De Viriderio</t>
  </si>
  <si>
    <t>Viriderio</t>
  </si>
  <si>
    <t>Totum locum</t>
  </si>
  <si>
    <t>Viridario</t>
  </si>
  <si>
    <t>Devesset, ante portam castri</t>
  </si>
  <si>
    <t>Jacobo Fayni de Sabinariais</t>
  </si>
  <si>
    <t>Bernardo de Sanna</t>
  </si>
  <si>
    <t>Monidie de Flossac</t>
  </si>
  <si>
    <t>Parrochie Sancti Juliani in Valcanscia</t>
  </si>
  <si>
    <t>Totum loco</t>
  </si>
  <si>
    <t>Partem suem totum locum</t>
  </si>
  <si>
    <t>Stephanis et Girandus</t>
  </si>
  <si>
    <t>De Comba Sancta Gitatis</t>
  </si>
  <si>
    <t>Sororis</t>
  </si>
  <si>
    <t>Comba Sancta Gitatis</t>
  </si>
  <si>
    <t>Territorii seu tenementi</t>
  </si>
  <si>
    <t>Combasola</t>
  </si>
  <si>
    <t>Terra domini de Meysosola</t>
  </si>
  <si>
    <t>Terra ecclesie sur de Noseynes</t>
  </si>
  <si>
    <t>Terra nobilis Francisa bellipiandii</t>
  </si>
  <si>
    <t>Terra de Calmas quas tenetur si sub snhoria domini duntis borbonenti de Duetto Dominio</t>
  </si>
  <si>
    <t>Terra Jacmeti de la Mess que tenetur sub senhoria prioratus de Maschanilha uno rivo intermedio</t>
  </si>
  <si>
    <t>Partem loci</t>
  </si>
  <si>
    <t>Partem loci + totum locum</t>
  </si>
  <si>
    <t>Jacobus Boscheti</t>
  </si>
  <si>
    <t>De la Costa</t>
  </si>
  <si>
    <t>La Costa</t>
  </si>
  <si>
    <t>Loco et territorio de la Costa</t>
  </si>
  <si>
    <t>De Picota</t>
  </si>
  <si>
    <t>Petrus et Martinus</t>
  </si>
  <si>
    <t>Bien au nom Martinus</t>
  </si>
  <si>
    <t>Religioso viro fratre Johanne Meuli Hospitalis</t>
  </si>
  <si>
    <t>Petro Duneria</t>
  </si>
  <si>
    <t>Petroilla</t>
  </si>
  <si>
    <t>Uxori Guillermonis de la Rocha</t>
  </si>
  <si>
    <t>Sitam apud La Rocha</t>
  </si>
  <si>
    <t>Orto Petri de Ruppe</t>
  </si>
  <si>
    <t>Orto Armandeti de Ruppe</t>
  </si>
  <si>
    <t>Del Chastaneir</t>
  </si>
  <si>
    <t>De Maltalha</t>
  </si>
  <si>
    <t>De Fontaynas</t>
  </si>
  <si>
    <t>De Sanha Serzeir</t>
  </si>
  <si>
    <t>De Las Charals</t>
  </si>
  <si>
    <t>D'Armandes</t>
  </si>
  <si>
    <t>De Pineto</t>
  </si>
  <si>
    <t>Partem territorii communis</t>
  </si>
  <si>
    <t>Solgos</t>
  </si>
  <si>
    <t>De la Font</t>
  </si>
  <si>
    <t>Partem petie</t>
  </si>
  <si>
    <t>La Mola</t>
  </si>
  <si>
    <t>De Petra de Firno</t>
  </si>
  <si>
    <t>De Moli Neilh</t>
  </si>
  <si>
    <t>Dens Ubacs</t>
  </si>
  <si>
    <t>Quod petie est de perindiviso cum domino de Sollemniaco quo habuit a domina de Bonsolio condam et catri Devesseti</t>
  </si>
  <si>
    <t>Partem patilium</t>
  </si>
  <si>
    <t>Delle de Ruppe</t>
  </si>
  <si>
    <t>Partem Dens Meses</t>
  </si>
  <si>
    <t>Loco et tenementum de Ruppe</t>
  </si>
  <si>
    <t>Dens Meses</t>
  </si>
  <si>
    <t>Loco et tenemento de Ruppe</t>
  </si>
  <si>
    <t>Territorio de Rilhac</t>
  </si>
  <si>
    <t>Rivo d'Arnaudes</t>
  </si>
  <si>
    <t>Nemorum del Sape</t>
  </si>
  <si>
    <t>Vinea domini de Ruppe Bone</t>
  </si>
  <si>
    <t>Territorio de Rochabona</t>
  </si>
  <si>
    <t>Pars vinee</t>
  </si>
  <si>
    <t>Vinea Petri del Coynh de Ruppe Bona</t>
  </si>
  <si>
    <t>De mandamento […] castri et domus Devesseti</t>
  </si>
  <si>
    <t>De la Via del Moli</t>
  </si>
  <si>
    <t>Sita in territorio de Ruppe</t>
  </si>
  <si>
    <t>1 domus + 2 orti + 1 garaitum + 4 petiae + 4 prati + 11 partem petie + partem territorii communi + partem patille + partem dens meses + possessiones + seytorata vinee + pars vinee + ? + nemora + pasturalia</t>
  </si>
  <si>
    <t>Johannis et Girardus</t>
  </si>
  <si>
    <t>De Rilhac</t>
  </si>
  <si>
    <t>Sitas apud Rilhac</t>
  </si>
  <si>
    <t>Apud Rilhac et in eius territorio -&gt; tenementum</t>
  </si>
  <si>
    <t>Terra Gerentonis Rommi</t>
  </si>
  <si>
    <t>Terra Armandi de Calma et eius filie</t>
  </si>
  <si>
    <t>Terra de Ruppe</t>
  </si>
  <si>
    <t>De mandamento et infra mandamento juridictione domus Devesseti</t>
  </si>
  <si>
    <t>Johannes nomine Petronille Clerzonessa eius uxoris</t>
  </si>
  <si>
    <t>Sito in territorio de Rilhac</t>
  </si>
  <si>
    <t>Nomine eius uxoris</t>
  </si>
  <si>
    <t>Sitas a la Rocha</t>
  </si>
  <si>
    <t>De Fago</t>
  </si>
  <si>
    <t>Apud nemus de Ruppe</t>
  </si>
  <si>
    <t>De Molino</t>
  </si>
  <si>
    <t>Laygaa</t>
  </si>
  <si>
    <t>For[-]coho</t>
  </si>
  <si>
    <t>La Sanha</t>
  </si>
  <si>
    <t>Nomine eius uxoris + Qui condam fuerunt Michaelis Clergue</t>
  </si>
  <si>
    <t>Possessiones Petronille eius uxoris</t>
  </si>
  <si>
    <t>Domos + tenementum + ouchiam + gairaitum + ortum + 3 prati + pasturale + 1 petiam + nemus + sanha</t>
  </si>
  <si>
    <t>Maisonitz</t>
  </si>
  <si>
    <t>Nomine Stephani eius fratris</t>
  </si>
  <si>
    <t>Tenemento seu loco de Rilhac</t>
  </si>
  <si>
    <t>In mandamentum et infra mandamentum juridictione domus Devesseti</t>
  </si>
  <si>
    <t>Maisonessa</t>
  </si>
  <si>
    <t>Nomine Catarine eius sororis</t>
  </si>
  <si>
    <t>Las Faylas</t>
  </si>
  <si>
    <t>Comenialart</t>
  </si>
  <si>
    <t>Del Pontet</t>
  </si>
  <si>
    <t>La Ribassa</t>
  </si>
  <si>
    <t>Versus molendinum</t>
  </si>
  <si>
    <t>De Ruppe Forte</t>
  </si>
  <si>
    <t>De Versus lo Sanzer</t>
  </si>
  <si>
    <t>Dens Ubacz</t>
  </si>
  <si>
    <t>Del San</t>
  </si>
  <si>
    <t>Ante domum de la Rohanina</t>
  </si>
  <si>
    <t>Del Brutz</t>
  </si>
  <si>
    <t>Recto ortum Del Rey</t>
  </si>
  <si>
    <t>De Champras</t>
  </si>
  <si>
    <t>De La Nanta</t>
  </si>
  <si>
    <t>Vaz de Prato Rotondo</t>
  </si>
  <si>
    <t>Ouchetam</t>
  </si>
  <si>
    <t>De Sanha Salet</t>
  </si>
  <si>
    <t>De Rocha Fort</t>
  </si>
  <si>
    <t>De la Suerneas</t>
  </si>
  <si>
    <t>De Cumba Fola</t>
  </si>
  <si>
    <t>De Prato Raytz</t>
  </si>
  <si>
    <t>Partem patilium communum</t>
  </si>
  <si>
    <t>Loco et territorio de la Rocha</t>
  </si>
  <si>
    <t>Terra d'Arnaudes</t>
  </si>
  <si>
    <t>Nemore Del Sape</t>
  </si>
  <si>
    <t>Pasturalia + 3 terrae + 3 orti + 11 petiae + 2 nemus + garaitum + ouchetam + molendinam + possessiones + partem pastuum et pasturalium et partem patilium cmmunum</t>
  </si>
  <si>
    <t>Loco et territorio de Rocha</t>
  </si>
  <si>
    <t>De Leyra</t>
  </si>
  <si>
    <t>Belle-mère</t>
  </si>
  <si>
    <t>De Prato Reant</t>
  </si>
  <si>
    <t>Versus Salvanessas</t>
  </si>
  <si>
    <t>Jus terre</t>
  </si>
  <si>
    <t>De Las Faysas</t>
  </si>
  <si>
    <t>Sanha Lacgier</t>
  </si>
  <si>
    <t>Tartarut</t>
  </si>
  <si>
    <t>La Rocha Cuba sive de La Blacha</t>
  </si>
  <si>
    <t>Sanha Laurens</t>
  </si>
  <si>
    <t>Manque début</t>
  </si>
  <si>
    <t>Censu de Pupart</t>
  </si>
  <si>
    <t>Patilium de Ruppe</t>
  </si>
  <si>
    <t>Domum + 3 peatiae + 3 prati + 3 terrae + jus terram + 2 nemus + partem petia + partem patile</t>
  </si>
  <si>
    <t>Territorio de Rilhac et de Ruppe</t>
  </si>
  <si>
    <t>Nomine Mathene eius uxoris (du père)</t>
  </si>
  <si>
    <t>De mandamento et in mandamentum et de juridictione castri Devesseti</t>
  </si>
  <si>
    <t>Filius Petri de Ruppe</t>
  </si>
  <si>
    <t>Espleyt</t>
  </si>
  <si>
    <t>Sitas apud La Rocha</t>
  </si>
  <si>
    <t>Orto Armandi Raspant vocata dal Fangriats</t>
  </si>
  <si>
    <t>De Sanga Farzier</t>
  </si>
  <si>
    <t>Terra Petri Dos</t>
  </si>
  <si>
    <t>Terra Guillermi Rocheta domicelli</t>
  </si>
  <si>
    <t>De Finergos</t>
  </si>
  <si>
    <t>Nemore Michaelis de Las Chalaias et Petri Mola</t>
  </si>
  <si>
    <t>Comemialart</t>
  </si>
  <si>
    <t>Pratis Mathei Dundeie condam</t>
  </si>
  <si>
    <t>Petia Petronile uxoris Guillermolis de Bertos</t>
  </si>
  <si>
    <t>De Prato Reont</t>
  </si>
  <si>
    <t>Itinere quo itur de Chabons versus Sanctam Agrippavium</t>
  </si>
  <si>
    <t>Petia Petronille uxoris Guillermi de Bertos</t>
  </si>
  <si>
    <t>Del Brus</t>
  </si>
  <si>
    <t>Petia Armandi Raspant</t>
  </si>
  <si>
    <t>Carreria qua itur de Ruppe versus Fagum</t>
  </si>
  <si>
    <t>Sanha Salet</t>
  </si>
  <si>
    <t>Carreria qua itur de Ruppe versus La Chalin</t>
  </si>
  <si>
    <t>Garayto heredum Arnaudi</t>
  </si>
  <si>
    <t>Facgo Una</t>
  </si>
  <si>
    <t>Cum hoc quo fuit aquisitum a Bernardo de Chananhac</t>
  </si>
  <si>
    <t>Garaito de Rilhac</t>
  </si>
  <si>
    <t>Terra Guillermi de Croso</t>
  </si>
  <si>
    <t>Fontaynas et de Las Charals et de Maltalha</t>
  </si>
  <si>
    <t>Petia Dens Blayinas</t>
  </si>
  <si>
    <t>Petia Dens Verilha</t>
  </si>
  <si>
    <t>Sanha de la Cela</t>
  </si>
  <si>
    <t>Initenere quo itur de Truchet versus Sanctum Agrippavium</t>
  </si>
  <si>
    <t>De Comba Fola</t>
  </si>
  <si>
    <t>Prato Dens Verihas</t>
  </si>
  <si>
    <t>Pratum de Ponteto quod habui a Johanne de Rilhac</t>
  </si>
  <si>
    <t>Fonte Cuberta</t>
  </si>
  <si>
    <t>Prato Johannis de Rilhac</t>
  </si>
  <si>
    <t>Del Vuntz</t>
  </si>
  <si>
    <t>Calma comis Ville</t>
  </si>
  <si>
    <t>Pineto</t>
  </si>
  <si>
    <t>Prato Armandonis Raspant</t>
  </si>
  <si>
    <t>Soteria</t>
  </si>
  <si>
    <t>Prato Armandi de la Rocha condam</t>
  </si>
  <si>
    <t>Bon Pas</t>
  </si>
  <si>
    <t>Rivo de Borneta</t>
  </si>
  <si>
    <t>Del Borze</t>
  </si>
  <si>
    <t>Dens Verilhas</t>
  </si>
  <si>
    <t>Les Prinalha</t>
  </si>
  <si>
    <t>Molendini veteris</t>
  </si>
  <si>
    <t>Costa Meiana</t>
  </si>
  <si>
    <t>Partem prati</t>
  </si>
  <si>
    <t>Partem orti</t>
  </si>
  <si>
    <t>Indiviso de domino castri Devesseti et castri Sancti Agrippavii</t>
  </si>
  <si>
    <t>Situm apud La Rocha</t>
  </si>
  <si>
    <t>Hominum de Ruppe</t>
  </si>
  <si>
    <t>Territorio de Arnaudes</t>
  </si>
  <si>
    <t>Partes trium vinearum</t>
  </si>
  <si>
    <t>Situm in territorio de Rochabona</t>
  </si>
  <si>
    <t>Pro Bernardo de Chanhac</t>
  </si>
  <si>
    <t>Pro Bernardo de Chananhac</t>
  </si>
  <si>
    <t>De juridictione mandaenti et infra mandamento domus seu castri Devesseti</t>
  </si>
  <si>
    <t>Partem</t>
  </si>
  <si>
    <t>Vinatz de Borneta</t>
  </si>
  <si>
    <t>Domos + ortos + 2 ouchiam + 3 terram + nemus + 9 prati + 3 garaitum + 6 partem petia + 2 partem prati + 2 partem orti + 2 partem trium vinea + possessiones + partem patile communum + partem</t>
  </si>
  <si>
    <t>Durandus et Vitalis</t>
  </si>
  <si>
    <t>Consanguinei</t>
  </si>
  <si>
    <t>Johannes + Nicholaus et Petris</t>
  </si>
  <si>
    <t>Parrochie de Lanastres</t>
  </si>
  <si>
    <t>De Lalo</t>
  </si>
  <si>
    <t>Sitam in territorio de Bramafam</t>
  </si>
  <si>
    <t>Bramafam</t>
  </si>
  <si>
    <t>Fonte Bono</t>
  </si>
  <si>
    <t>Petia de Corteso del Monteilha</t>
  </si>
  <si>
    <t>Calma de Feudo</t>
  </si>
  <si>
    <t>Prato de La Monda</t>
  </si>
  <si>
    <t>Via per quam itur de Champanhas versus Lomonteilh</t>
  </si>
  <si>
    <t>La Cumba</t>
  </si>
  <si>
    <t>Terra de grangio de Champanhas</t>
  </si>
  <si>
    <t>Situm in territorio del Feo</t>
  </si>
  <si>
    <t>Pratis Johannis de Feudo</t>
  </si>
  <si>
    <t>Del Masones</t>
  </si>
  <si>
    <t>Grangio de Champanhas</t>
  </si>
  <si>
    <t>Prato de Champanhas</t>
  </si>
  <si>
    <t>2 garaitum + terram+ pratum + pasturale</t>
  </si>
  <si>
    <t>2 pratum + pasturale</t>
  </si>
  <si>
    <t>Petro Curtilis de Villaloma</t>
  </si>
  <si>
    <t>Guigone Chaicua</t>
  </si>
  <si>
    <t>Dens Forcus</t>
  </si>
  <si>
    <t>Sitas in tenementum de Las Gotas</t>
  </si>
  <si>
    <t>Quam aquisivit a Guillermo de Chanilhs condam</t>
  </si>
  <si>
    <t>Vua de extra nemus</t>
  </si>
  <si>
    <t>Nemore de Las Gotas de Chanils</t>
  </si>
  <si>
    <t>Del Beal</t>
  </si>
  <si>
    <t>Petiam terre + lenata</t>
  </si>
  <si>
    <t>Leanata</t>
  </si>
  <si>
    <t>Petie terra + lenata</t>
  </si>
  <si>
    <t>Chareira</t>
  </si>
  <si>
    <t>Pro Mathei eius fratrem</t>
  </si>
  <si>
    <t>Lone</t>
  </si>
  <si>
    <t>Aqua de Linho</t>
  </si>
  <si>
    <t>Pratis de Podio Brunent</t>
  </si>
  <si>
    <t>Sanha Santa</t>
  </si>
  <si>
    <t>Prato de Podio Brunent</t>
  </si>
  <si>
    <t>Prato Johannis Botena de Las Eiras</t>
  </si>
  <si>
    <t>2 pratum</t>
  </si>
  <si>
    <t>Villalonia</t>
  </si>
  <si>
    <t>Johannes et Johannes Guigonis consanguinei</t>
  </si>
  <si>
    <t>Johannes et Joheannes Guigonis + Peyrononis</t>
  </si>
  <si>
    <t>De Villaloma + Nigris</t>
  </si>
  <si>
    <t>Peyrononis nomine Valerie eius ucoris</t>
  </si>
  <si>
    <t>Medietatum prati</t>
  </si>
  <si>
    <t>Las Costas</t>
  </si>
  <si>
    <t>Situm in territotio de Monneta</t>
  </si>
  <si>
    <t>Aqua de Lionoel</t>
  </si>
  <si>
    <t>Territorio de Villa Lonia</t>
  </si>
  <si>
    <t>Medietatem prati</t>
  </si>
  <si>
    <t>Luca</t>
  </si>
  <si>
    <t>Filia Petri Ruelli de Villalonia condam</t>
  </si>
  <si>
    <t>Situm in loco de Villalonia</t>
  </si>
  <si>
    <t>Orto Phelise de Villalonia</t>
  </si>
  <si>
    <t>Orto liberorum Jacobi Ruelli condam</t>
  </si>
  <si>
    <t>Domo Guillermi Largeri</t>
  </si>
  <si>
    <t>Ortum + casale</t>
  </si>
  <si>
    <t>Duarum prati</t>
  </si>
  <si>
    <t>Petro Del Cros</t>
  </si>
  <si>
    <t>Filius Jacobi Ruelli de Villa Longia</t>
  </si>
  <si>
    <t>Villa Longia</t>
  </si>
  <si>
    <t>Pro ac nomine Jacobi Ruelli eius fratris</t>
  </si>
  <si>
    <t>Situm apud Villa Longia</t>
  </si>
  <si>
    <t>Domo Guillermi Largeri de Villa Longia</t>
  </si>
  <si>
    <t>Nemore de Chanilhs</t>
  </si>
  <si>
    <t>Situm supra Fontem Charairina</t>
  </si>
  <si>
    <t>Meitenchadam terre</t>
  </si>
  <si>
    <t>Sitam in territorio de Villa Longia</t>
  </si>
  <si>
    <t>Terra Petri Curtilis</t>
  </si>
  <si>
    <t>Terra Dens Guigos</t>
  </si>
  <si>
    <t>Ortis apellatis Los Foras</t>
  </si>
  <si>
    <t>Casale + 3 ortum + meitenchadam terre</t>
  </si>
  <si>
    <t>Promisit esse hominem licgium</t>
  </si>
  <si>
    <t>Andree de Julibertis</t>
  </si>
  <si>
    <t>Johanneto Chambonant de Chalmariais</t>
  </si>
  <si>
    <t>Johaneito Meruli</t>
  </si>
  <si>
    <t>Johannes + ?</t>
  </si>
  <si>
    <t>Barerii Dens Chazalet + De Chanils</t>
  </si>
  <si>
    <t>Johannes de Chanils pro et nomine Johenette de Las Penas et etiam liberorum Bernardi de Las Penas condam</t>
  </si>
  <si>
    <t>Del Maset</t>
  </si>
  <si>
    <t>Quod est perm[-] cum dominus de Lanarena</t>
  </si>
  <si>
    <t>Tenemento de Villa Longia</t>
  </si>
  <si>
    <t>Aqua Linionis</t>
  </si>
  <si>
    <t>Calma de Las Penas</t>
  </si>
  <si>
    <t>Calma vocata Lomares Fornes</t>
  </si>
  <si>
    <t>Compositione olim facta inter domum Devesseti ex una parte et dominorum Devesseti ex altera</t>
  </si>
  <si>
    <t>Johanne de Firnis</t>
  </si>
  <si>
    <t>Nicholao de Firnis</t>
  </si>
  <si>
    <t>Promisist esse fidelis domus Devesseti</t>
  </si>
  <si>
    <t>Homo-licgius justitiabilis et talhabilis ad omnimodas voluntates</t>
  </si>
  <si>
    <t>Feudo</t>
  </si>
  <si>
    <t>Terra grangiacgii de Champanhas</t>
  </si>
  <si>
    <t>Terra mansi d'Ugonis</t>
  </si>
  <si>
    <t>Territorio del Sotol</t>
  </si>
  <si>
    <t>Territorio de Crosodo</t>
  </si>
  <si>
    <t>Territorio del Monteil</t>
  </si>
  <si>
    <t>Al Malimiho</t>
  </si>
  <si>
    <t>Johanne Sabatii</t>
  </si>
  <si>
    <t>Domino Vitale de Clauselis</t>
  </si>
  <si>
    <t>Lanarena</t>
  </si>
  <si>
    <t>Sitam in territorio de Loyl Dens Cornus</t>
  </si>
  <si>
    <t>Juxta Las Gardetas</t>
  </si>
  <si>
    <t>Petia Stephani de Malagaita</t>
  </si>
  <si>
    <t>Terra Petri Mundenis de Larena</t>
  </si>
  <si>
    <t>Petia Clementis de Malagaita</t>
  </si>
  <si>
    <t>Saint-Agrève, ante graidum somini preceptoris</t>
  </si>
  <si>
    <t>Johanne de Malagaita</t>
  </si>
  <si>
    <t>Johanne Cardini de Chausilhac</t>
  </si>
  <si>
    <t>Al' Sanhas</t>
  </si>
  <si>
    <t>Sitam apud La Valeta</t>
  </si>
  <si>
    <t>Sitam apud La Valeta ribrant</t>
  </si>
  <si>
    <t>Carreria publica de La Valeta</t>
  </si>
  <si>
    <t>Domo heredum Hogoneti de la Valeta condam quodam violo medio</t>
  </si>
  <si>
    <t>Situm subtus nemus de Lerin</t>
  </si>
  <si>
    <t>Nemore de Lerin</t>
  </si>
  <si>
    <t>Terra nempre de Muretp</t>
  </si>
  <si>
    <t>De Lesnerstah</t>
  </si>
  <si>
    <t>Prato de podio Sirgudo</t>
  </si>
  <si>
    <t>Prato Johannis de Valeta</t>
  </si>
  <si>
    <t>Situm apud la Valeta</t>
  </si>
  <si>
    <t>Petia terre Johannis de la Valeta</t>
  </si>
  <si>
    <t>Situm in loco de la Valeta</t>
  </si>
  <si>
    <t>Petia sua quam tenet a prioratus Ruppispaule</t>
  </si>
  <si>
    <t>Sitam in Tracollo Ruppis de Grant</t>
  </si>
  <si>
    <t>Petia Jacobi La Valeta</t>
  </si>
  <si>
    <t>De Ruppe Buzana</t>
  </si>
  <si>
    <t>Petra Belliprandi</t>
  </si>
  <si>
    <t>Terra Ruppispaule</t>
  </si>
  <si>
    <t>De Fonte Veirieur</t>
  </si>
  <si>
    <t>Terra Belliprandi</t>
  </si>
  <si>
    <t>Del Pinatel</t>
  </si>
  <si>
    <t>De Lubac</t>
  </si>
  <si>
    <t>De Casta Bernart</t>
  </si>
  <si>
    <t>De Casta Garneir</t>
  </si>
  <si>
    <t>Sitam juxta Fontem de La Valeta</t>
  </si>
  <si>
    <t>Domum + 2 pratum + 2 ortum + 8 petiae</t>
  </si>
  <si>
    <t>Domum + duorum prati</t>
  </si>
  <si>
    <t>De mandamento et de mandamentum juridictione domus Devesseti</t>
  </si>
  <si>
    <t>Johanne de La Valeta</t>
  </si>
  <si>
    <t>Petro Girardi clerico</t>
  </si>
  <si>
    <t xml:space="preserve">Petrus </t>
  </si>
  <si>
    <t>Dens Peyres</t>
  </si>
  <si>
    <t>Aquisivit a Johanne Ronema de la Benent et a Petronilla eius matre</t>
  </si>
  <si>
    <t>Devesset, in antea castri</t>
  </si>
  <si>
    <t>Johanne de Ponte clerico</t>
  </si>
  <si>
    <t>Bartholomeo de Ponte Bacherii</t>
  </si>
  <si>
    <t>Per domini Bertrandum de la Valeta + Johanni Alienu de Tensano nomine domini preceptori Devesseti + Doit comme Symon du 1531 et possède pareil + Guillermum notaire Vallegalate</t>
  </si>
  <si>
    <t>Arthaudo de Capella</t>
  </si>
  <si>
    <t>Ambayserii</t>
  </si>
  <si>
    <t>Sitam apud Las Sanholas</t>
  </si>
  <si>
    <t>Terra domini preceptoris cartina</t>
  </si>
  <si>
    <t>Positam in loco de Las Sanholas</t>
  </si>
  <si>
    <t>Sanholis Dens Fontelhos</t>
  </si>
  <si>
    <t>Domum + ortum + terram</t>
  </si>
  <si>
    <t>Quod aquisivit a Johanne Pauleti</t>
  </si>
  <si>
    <t>Creysementum</t>
  </si>
  <si>
    <t>Positam juxta pratum suum</t>
  </si>
  <si>
    <t>Consta Salvacgia dicti Vitalis</t>
  </si>
  <si>
    <t>Prato Johannis Brunelli</t>
  </si>
  <si>
    <t>Pratum + creysementum</t>
  </si>
  <si>
    <t>Quod aquisivit de La Viletono</t>
  </si>
  <si>
    <t>Calma vocata Poleira</t>
  </si>
  <si>
    <t>Calma de Lavar Deschas</t>
  </si>
  <si>
    <t>Incluso censu quos tenetur dare de La Putetas</t>
  </si>
  <si>
    <t>Domum + 2 pratum + ortum + terram + creysementum</t>
  </si>
  <si>
    <t>Domum, ortum &amp; terram + pratum &amp; creysementum + pratum</t>
  </si>
  <si>
    <t>Devesset, in turre supors portam</t>
  </si>
  <si>
    <t>Johanne Sabaterii</t>
  </si>
  <si>
    <t>Al' Chambo</t>
  </si>
  <si>
    <t>Die Sabati in festo Beati Johannis Evvangeliste</t>
  </si>
  <si>
    <t>Villa Nova Devesseti</t>
  </si>
  <si>
    <t>Sive de Las Sanholas</t>
  </si>
  <si>
    <t>Partem coste</t>
  </si>
  <si>
    <t>Salvagia</t>
  </si>
  <si>
    <t>Terra Guartine domus Devesseti</t>
  </si>
  <si>
    <t>Quam agricolas idem Vitalis</t>
  </si>
  <si>
    <t>Poncio Boteira domicelli</t>
  </si>
  <si>
    <t>La Valeta</t>
  </si>
  <si>
    <t>La Valeta Raybrant</t>
  </si>
  <si>
    <t>Sitam il loco de la Valeto Raibrant</t>
  </si>
  <si>
    <t>Terra prioratus Ruppispaule quadam passata media</t>
  </si>
  <si>
    <t>Domum + ortum + ouchia</t>
  </si>
  <si>
    <t>De Font Veirieir</t>
  </si>
  <si>
    <t>Passatam</t>
  </si>
  <si>
    <t>De Lerin</t>
  </si>
  <si>
    <t>Del Serre de Grant</t>
  </si>
  <si>
    <t>Dens Chapolens</t>
  </si>
  <si>
    <t>La Blacha</t>
  </si>
  <si>
    <t>Lesuerseynh</t>
  </si>
  <si>
    <t>Prato Poyes</t>
  </si>
  <si>
    <t>La Aygaa</t>
  </si>
  <si>
    <t>Domum, ortum &amp; ouchiam</t>
  </si>
  <si>
    <t>Territorio loci de la Valeta Ribrant</t>
  </si>
  <si>
    <t>Domum + 2 ortum + ouchiam + + possessiones 5 petiam + passatam + 2 pasturale + pascua</t>
  </si>
  <si>
    <t>Territorio de la Valeta Ribrant</t>
  </si>
  <si>
    <t>Terra Prioris Ruppispaule</t>
  </si>
  <si>
    <t>Terra castri Belli Prandii</t>
  </si>
  <si>
    <t>Terra Devesseti</t>
  </si>
  <si>
    <t>In mandamento et de mendamento castri Devesseti</t>
  </si>
  <si>
    <t>Andree de Espaetis</t>
  </si>
  <si>
    <t>Filius Johannis de La Valeta Raybrant</t>
  </si>
  <si>
    <t>De la Valeta Raybrant</t>
  </si>
  <si>
    <t>Nomine Michaelis eius fratris</t>
  </si>
  <si>
    <t>Contractus olim inter predecessores Peyruchonus et predecessores domini preceptori</t>
  </si>
  <si>
    <t>Domo Johannis de la Valeta</t>
  </si>
  <si>
    <t>Situm apud La Valeta</t>
  </si>
  <si>
    <t>Vocatum la Sanha del Moli</t>
  </si>
  <si>
    <t>Aqua de La Gueesa</t>
  </si>
  <si>
    <t>Domum + pratum</t>
  </si>
  <si>
    <t>Situm in territorio de la Valeta</t>
  </si>
  <si>
    <t>De Leyra Velha</t>
  </si>
  <si>
    <t>De la Costeta</t>
  </si>
  <si>
    <t>De Costa Bernart</t>
  </si>
  <si>
    <t>De Costa Veirieir</t>
  </si>
  <si>
    <t>Prope nemus de Lerni</t>
  </si>
  <si>
    <t>De la Blacha</t>
  </si>
  <si>
    <t>Terra Rupispaule</t>
  </si>
  <si>
    <t>De Laygaa</t>
  </si>
  <si>
    <t>Del Ranc</t>
  </si>
  <si>
    <t>Territorio de la Valeta</t>
  </si>
  <si>
    <t>Domum + pratum + 2 ortum + 4 petia + campum + pasturale + possessiones</t>
  </si>
  <si>
    <t>Terra Belle Prandii</t>
  </si>
  <si>
    <t>Terra castri Devesseti</t>
  </si>
  <si>
    <t>De mandamento et mandamentum castri Devesseti</t>
  </si>
  <si>
    <t>Fonteti</t>
  </si>
  <si>
    <t>Nomine Jacmete uxoris sue</t>
  </si>
  <si>
    <t>Situm apud la Valeta Raybrant</t>
  </si>
  <si>
    <t>Domo Michaelis de la Valeta</t>
  </si>
  <si>
    <t>Leyra Velha</t>
  </si>
  <si>
    <t>Sitam versus Lerin</t>
  </si>
  <si>
    <t>Costa Bernart</t>
  </si>
  <si>
    <t>Leira Velha</t>
  </si>
  <si>
    <t>Lubac de Podio Drigido</t>
  </si>
  <si>
    <t>Juxta terra Jacobi de la Valeta</t>
  </si>
  <si>
    <t>Sitam subtus Domum Jacobi de la Valeta</t>
  </si>
  <si>
    <t>Territorio et loco de la Valeta</t>
  </si>
  <si>
    <t>Terra priodris Ruppispaule</t>
  </si>
  <si>
    <t>Sita apud Teysoneiras</t>
  </si>
  <si>
    <t>Nemore de Teysoneiras</t>
  </si>
  <si>
    <t>Domum + ortum + 6 petiam + possessiones + pratum + pasturale</t>
  </si>
  <si>
    <t>Censu et talha + nemore</t>
  </si>
  <si>
    <t>In mandamento et de mendamento juridictione castri Devesseti</t>
  </si>
  <si>
    <t>Johanne de Malatrait</t>
  </si>
  <si>
    <t>Vitale de Lapaslissa de Ruppe Paula</t>
  </si>
  <si>
    <t>De la Fontetas</t>
  </si>
  <si>
    <t>Habitator mansi de Vunha</t>
  </si>
  <si>
    <t>Vunha</t>
  </si>
  <si>
    <t>Pro ac nomine Petri eius fratris</t>
  </si>
  <si>
    <t>De Vunha</t>
  </si>
  <si>
    <t>Aquisivit a Laurenti de Montabonel cum prate sua</t>
  </si>
  <si>
    <t>De Martino</t>
  </si>
  <si>
    <t>Tenemento de Sirgras</t>
  </si>
  <si>
    <t>Prato de Garneir</t>
  </si>
  <si>
    <t>Omni parte dicto tenemento quo pernenit Peyrero de Montabonel</t>
  </si>
  <si>
    <t>Censu, argenti et talhia</t>
  </si>
  <si>
    <t>Loco de Las Fontetas</t>
  </si>
  <si>
    <t>Bessaam</t>
  </si>
  <si>
    <t>Loco de Vunha</t>
  </si>
  <si>
    <t>Petri eius fratri</t>
  </si>
  <si>
    <t>Possessiones + Bessaam</t>
  </si>
  <si>
    <t>Sita apud Cumbanrias</t>
  </si>
  <si>
    <t>Prato de Lanibaysena</t>
  </si>
  <si>
    <t>Quam becgace petiam ad huc sunt in quadam nota quasi in principio huius terrerii in qua Guillermis de Las Fontetas nomine dictorum fratrum confessus fueruat tenere a dicta domo</t>
  </si>
  <si>
    <t>Domum + prati + 2 possessiones + Bessaam + petia</t>
  </si>
  <si>
    <t>Bessaa</t>
  </si>
  <si>
    <t>In mandamento et de mendamento domus et castri Devesseti</t>
  </si>
  <si>
    <t>Peireto de Montabonel</t>
  </si>
  <si>
    <t>Andree de Canaleta de Sancto Savatore</t>
  </si>
  <si>
    <t>Possessiones &amp; Bessaam + petiam + censu suo dela Las Putetas</t>
  </si>
  <si>
    <t>De la Vileta</t>
  </si>
  <si>
    <t>Nomine Petri eius filii</t>
  </si>
  <si>
    <t>Berthi + Bonafides, Peyronetus, Guigo et Vialonus + Matheus et Johanenus</t>
  </si>
  <si>
    <t>Stephani fratris sui</t>
  </si>
  <si>
    <t>Pratis de romigerus quodam rivo medio</t>
  </si>
  <si>
    <t>Situm juxta Petiam Vitalis Brannac</t>
  </si>
  <si>
    <t>Del Toloet</t>
  </si>
  <si>
    <t>Del Cieir</t>
  </si>
  <si>
    <t>Bertineschas</t>
  </si>
  <si>
    <t>Pratum + casale</t>
  </si>
  <si>
    <t>Censu et talha + pratum</t>
  </si>
  <si>
    <r>
      <t xml:space="preserve">Censu et talha + </t>
    </r>
    <r>
      <rPr>
        <sz val="11"/>
        <color rgb="FFFF0000"/>
        <rFont val="Calibri"/>
        <family val="2"/>
        <scheme val="minor"/>
      </rPr>
      <t>terres</t>
    </r>
  </si>
  <si>
    <t>Tonhet</t>
  </si>
  <si>
    <t>Territorio de la Vileta</t>
  </si>
  <si>
    <t>Casale + ortum + 5 petiam + pratum + possessiones</t>
  </si>
  <si>
    <t>Territorio de la Roneira</t>
  </si>
  <si>
    <t>Michaele de Las Fontetas</t>
  </si>
  <si>
    <t>Balbi</t>
  </si>
  <si>
    <t>Filia Staphani Balbi de la Vileta condam</t>
  </si>
  <si>
    <t>Situm in loco de la Vileta</t>
  </si>
  <si>
    <t>Del Chier</t>
  </si>
  <si>
    <t>De Ladrit de Chabanas</t>
  </si>
  <si>
    <t>De Lubac de Bertineschas</t>
  </si>
  <si>
    <t>De Costa Dens Pras</t>
  </si>
  <si>
    <t>Casale + ouchiam + 4 pratam</t>
  </si>
  <si>
    <t>De juridictione mandamentum et de mandamento castri Devesseti</t>
  </si>
  <si>
    <t>Anthonio Chambonis</t>
  </si>
  <si>
    <t>Pascalono de Lartanda Villa Nova</t>
  </si>
  <si>
    <t>Nomine Peyruchonis Palherii eius fratris</t>
  </si>
  <si>
    <t>Sitam apud mansum del Malgnines</t>
  </si>
  <si>
    <t>Malgnines</t>
  </si>
  <si>
    <t>Sitas in loco del Malgnines</t>
  </si>
  <si>
    <t>Domui sui</t>
  </si>
  <si>
    <t>Manso de La Gleysola quod tenetus a castro veteris Armati</t>
  </si>
  <si>
    <t>Cens en seigle (en carteria)</t>
  </si>
  <si>
    <t>Situm apud Lo Malgnines</t>
  </si>
  <si>
    <t>In loco del Magnines</t>
  </si>
  <si>
    <t>Manso de la Bastia</t>
  </si>
  <si>
    <t>Sequendo cum nemore de la Socha quodo rivo inter dicta duo nemora inedio et frequendo dictum rium</t>
  </si>
  <si>
    <t>Quodo rivo inter dicta duo nemora inedio et frequendo dictum rium</t>
  </si>
  <si>
    <t>De la Socha</t>
  </si>
  <si>
    <t>Nemore de Talhaessa quo tenetur a domo predicta</t>
  </si>
  <si>
    <t>Prato Andree Vitalis Cumba Menusil</t>
  </si>
  <si>
    <t>Prato Vitalis de calma</t>
  </si>
  <si>
    <t>Terra qua tenet a domo Devesseti in Vilanacgio</t>
  </si>
  <si>
    <t>Censu et talha + 2 nemus + prata</t>
  </si>
  <si>
    <t>Domus + ouchiam + 2 pratum + 2 nemus</t>
  </si>
  <si>
    <t>Gerentono de Podio Frigido</t>
  </si>
  <si>
    <t>Untentio de Villa Nova</t>
  </si>
  <si>
    <t>De mandamento et de juridictione castri Devesseti</t>
  </si>
  <si>
    <t>De la Fanassa</t>
  </si>
  <si>
    <t>Terra Bertrandi de Chalmetas</t>
  </si>
  <si>
    <t>Terra Jacobi Beuni eius neptus</t>
  </si>
  <si>
    <t>Las Chabanas</t>
  </si>
  <si>
    <t>Prato Poncii Brunii de Sanha Clausa</t>
  </si>
  <si>
    <t>Petia Bertrandi Brunii</t>
  </si>
  <si>
    <t>Nemore de Cumba Neira</t>
  </si>
  <si>
    <t>Terra et nemore Bertrandi Bruni</t>
  </si>
  <si>
    <t>La Platina</t>
  </si>
  <si>
    <t>Terra Magistri Guillermi Ariberui</t>
  </si>
  <si>
    <t>La Costa del Roure</t>
  </si>
  <si>
    <t>Prope del Lancel</t>
  </si>
  <si>
    <t>Terra Michaelis Rocbandi</t>
  </si>
  <si>
    <t>Terra Jacobi Raspant</t>
  </si>
  <si>
    <t>Jus</t>
  </si>
  <si>
    <t>Calmibar Deschas</t>
  </si>
  <si>
    <t>Jus calme</t>
  </si>
  <si>
    <t>Socheria</t>
  </si>
  <si>
    <t>De supra Carienam</t>
  </si>
  <si>
    <t>Del Suchet</t>
  </si>
  <si>
    <t>Qui fuit condam Johannis Relha</t>
  </si>
  <si>
    <t>Dens Ortforas</t>
  </si>
  <si>
    <t>Terra + ortos</t>
  </si>
  <si>
    <t>5 terram + 2 pratum + pasturale + jus + jus terre + jus calme + partem orti + orto</t>
  </si>
  <si>
    <t>Orto + terra</t>
  </si>
  <si>
    <t>De mandamento et infra mandamento et juridictione castri Devesset</t>
  </si>
  <si>
    <t>Vitale Sanhas</t>
  </si>
  <si>
    <t>Bertranda Bruni de Chalmetis</t>
  </si>
  <si>
    <t>Hereone</t>
  </si>
  <si>
    <t>Besseta Bernencha</t>
  </si>
  <si>
    <t>Sita in loco de Lermet</t>
  </si>
  <si>
    <t>Besseta Columbete de Sancto Agrippano</t>
  </si>
  <si>
    <t>Passata de Lermet rocata del Rio del Passet</t>
  </si>
  <si>
    <t>Situm in territorio de Lermet</t>
  </si>
  <si>
    <t>Besseta Michaelis de Lermeto</t>
  </si>
  <si>
    <t>Sitam in territorio de Lermet</t>
  </si>
  <si>
    <t>Terra Gregorii Blachonis de Raschassac</t>
  </si>
  <si>
    <t>Terra heredum Guillermi de Hereone</t>
  </si>
  <si>
    <t>Medietatem petie terre</t>
  </si>
  <si>
    <t>Site in territorio de Hereone</t>
  </si>
  <si>
    <t>Prala</t>
  </si>
  <si>
    <t>Terra quem tenent ipse Logues ab ecclesia Sancti Agrippavi</t>
  </si>
  <si>
    <t>Terra Guigonis de Pontem</t>
  </si>
  <si>
    <t>Medietate petie prati</t>
  </si>
  <si>
    <t>Sima de Prala</t>
  </si>
  <si>
    <t>Terra Guigonis de Ponte</t>
  </si>
  <si>
    <t>Terra Petri quam tenet a ecclesia Sancti Agrippavi</t>
  </si>
  <si>
    <t>Medietatem Faycie</t>
  </si>
  <si>
    <t>Meyena de Prala</t>
  </si>
  <si>
    <t>Prato Guigonis de Ponte</t>
  </si>
  <si>
    <t>Terra Peyroneti de Monreont</t>
  </si>
  <si>
    <t>Faycie Soteirana de Prala</t>
  </si>
  <si>
    <t>Prato quod tenet ecclesia Sancti Agreppavi</t>
  </si>
  <si>
    <t>Jus prati</t>
  </si>
  <si>
    <t>La Cumbeta</t>
  </si>
  <si>
    <t>Pratis Peyroneti de Monreont</t>
  </si>
  <si>
    <t>2 medietate petie terre + terra + 2 pasturale + medietate prati + medietate faycie + jus prati</t>
  </si>
  <si>
    <t>De mandamento et infra mandamento et de juridictione castri Devesset</t>
  </si>
  <si>
    <t>Promisit esse fidelis castro Devesseti</t>
  </si>
  <si>
    <t>Ariberius + Petris</t>
  </si>
  <si>
    <t>Dens Vernet</t>
  </si>
  <si>
    <t>Pasturale magistri Ariberii et Armandoni Ariberii et eius fratrum</t>
  </si>
  <si>
    <t>Nemus magistri Ariberii et Armandoni Ariberii et eius fratrum</t>
  </si>
  <si>
    <t>Terra Durandi de Aulanherio</t>
  </si>
  <si>
    <t>Itinere publico per quod itur de Sancto Agrippano versus Lo Pereir</t>
  </si>
  <si>
    <t>Terra et prato Petri de Mon Reont</t>
  </si>
  <si>
    <t>Partem nemus + pasturale + medietatem prati</t>
  </si>
  <si>
    <t>De mandamento et infra mandamento et de juridictione omnimoda castri Devesset</t>
  </si>
  <si>
    <t>Petro de Ruela</t>
  </si>
  <si>
    <t>Johanne de Ruela</t>
  </si>
  <si>
    <t>Quam aquisivit Mathena eius uxoris ex causa cambii facti inter eam et Magistre Guillermi Ariberii notarii</t>
  </si>
  <si>
    <t>Sita in territorio Dens Vernes</t>
  </si>
  <si>
    <t>Prato de Lalier dicti magistri Guillermi</t>
  </si>
  <si>
    <t>Itinere per quod itur de Hereone versus Laulanheir</t>
  </si>
  <si>
    <t>Terre petiam + petiam</t>
  </si>
  <si>
    <t>De juridictione omnimoda et de mandamento castri Devesseti</t>
  </si>
  <si>
    <t>Ariberius + Petrus</t>
  </si>
  <si>
    <t>Brunents</t>
  </si>
  <si>
    <t>De Hereone + Bunents de Hereone</t>
  </si>
  <si>
    <t>Sitam in territorio del Serre de Hereone</t>
  </si>
  <si>
    <t>Terra Peironeti de Mon Reont</t>
  </si>
  <si>
    <t>Terra liberorum Poncii de Hereone condam</t>
  </si>
  <si>
    <t>Alna</t>
  </si>
  <si>
    <t>Sancto Agrippano</t>
  </si>
  <si>
    <t>Fratrum suorum</t>
  </si>
  <si>
    <t>Del Serre</t>
  </si>
  <si>
    <t>Site apud Hereo</t>
  </si>
  <si>
    <t>Terra Poncii de Hereone condam</t>
  </si>
  <si>
    <t>Terra Petri de Mon Reont</t>
  </si>
  <si>
    <t>Prato liberorum Guillermi de Hereo</t>
  </si>
  <si>
    <t>Pratum heredum Nicholau de Hereo</t>
  </si>
  <si>
    <t>Prati sui</t>
  </si>
  <si>
    <t>Medietatem petiam suam</t>
  </si>
  <si>
    <t>Petia et prato Piero de Hereo</t>
  </si>
  <si>
    <t>Terra Petri de Monreont</t>
  </si>
  <si>
    <t>Medietatem petie</t>
  </si>
  <si>
    <t>Siti in territorio de Prala</t>
  </si>
  <si>
    <t>Petia sua et prato suo de la Cumbeta quadam via media</t>
  </si>
  <si>
    <t>Itinere publico per quod itur de Sancto Agrippano versus Devessetum</t>
  </si>
  <si>
    <t>Petie sue</t>
  </si>
  <si>
    <t>Terra ecclesie Sancti Agrippani</t>
  </si>
  <si>
    <t>De Pra la</t>
  </si>
  <si>
    <t>Pratum heredum Guillermi de Hereo</t>
  </si>
  <si>
    <t>2 medietatem petie terre + medietatem petie + 2 prati + 3 medietatem prati</t>
  </si>
  <si>
    <t>Vitale Comptoris</t>
  </si>
  <si>
    <t>Mathei Morelli de Ruppepaula</t>
  </si>
  <si>
    <t>Lo Garant</t>
  </si>
  <si>
    <t>Sitam apud Raschassac</t>
  </si>
  <si>
    <t>Petia liberorum Michaelis de Croso condam</t>
  </si>
  <si>
    <t>Terra Pascalonis de Raschassac condam</t>
  </si>
  <si>
    <t>Sitam in manso de Raschassac</t>
  </si>
  <si>
    <t>Terra Boneti de la Peira</t>
  </si>
  <si>
    <t>Del Bel Champ</t>
  </si>
  <si>
    <t>Terra heredum Michaelis de Croso condam</t>
  </si>
  <si>
    <t>Terra heredum Pascalonis de Raschassac</t>
  </si>
  <si>
    <t>Petia heredum Pascalonis de Raschassac</t>
  </si>
  <si>
    <t>Petia heredum Michaelis de Crozo</t>
  </si>
  <si>
    <t>Plancerio heredum Pascalonis de Raschassac</t>
  </si>
  <si>
    <t>Petia Vitalis Blachonis de Raschassac</t>
  </si>
  <si>
    <t>Situm in loco de Raschassac</t>
  </si>
  <si>
    <t>Via qua itur de Raschassac versus Faysene</t>
  </si>
  <si>
    <t>De recto furmum de Raschassac</t>
  </si>
  <si>
    <t>Sitam in manso de Lermet</t>
  </si>
  <si>
    <t>Prato et terra heredum Gregorii Blachonis</t>
  </si>
  <si>
    <t>Prato Dens Cransac</t>
  </si>
  <si>
    <t>Prato Stephani Celump</t>
  </si>
  <si>
    <t>Situm apud Raschassac</t>
  </si>
  <si>
    <t>Pratis illorum de la Peira</t>
  </si>
  <si>
    <t>Via qua itur de Raschassac et itur versus Bertrant</t>
  </si>
  <si>
    <t>Situm apud Rialhacum</t>
  </si>
  <si>
    <t>Tam pratum quam petiam</t>
  </si>
  <si>
    <t>Terra Johannis de Rilhaco</t>
  </si>
  <si>
    <t>Prato Johannis de Rilhaco</t>
  </si>
  <si>
    <t>Terra heredum de Girart de Rilhaco</t>
  </si>
  <si>
    <t>2 petiam terre + 2 ortum + ouchiam + tenementum + 3 petiam + 2 pratum</t>
  </si>
  <si>
    <t>Scellé à Lyon le 16 mars 1758 nem six folo</t>
  </si>
  <si>
    <t>Comptoris</t>
  </si>
  <si>
    <t>Nomine Beatricis eius uxoris</t>
  </si>
  <si>
    <t>Lermet</t>
  </si>
  <si>
    <t>Sita in territorio de Lermet</t>
  </si>
  <si>
    <t>Rivo mansi de Mundo</t>
  </si>
  <si>
    <t>Nemore et pasturali de Michel de Lermet</t>
  </si>
  <si>
    <t>Terra et pasturali Columbete de Sancto Agrippano</t>
  </si>
  <si>
    <t>Terre petiam suam</t>
  </si>
  <si>
    <t>Nemus suum</t>
  </si>
  <si>
    <t>Terre petiam sua</t>
  </si>
  <si>
    <t>Site supra domum Michaelis de Lermet</t>
  </si>
  <si>
    <t>Terra heredum Martini de Hereone</t>
  </si>
  <si>
    <t>2 terre petiam + pratum + nemus</t>
  </si>
  <si>
    <t>De mandamento et in mandamento et omnimoda juridictione castri Devesseti</t>
  </si>
  <si>
    <t>Columbeta</t>
  </si>
  <si>
    <t>Filia Guillermi de Hereo condam</t>
  </si>
  <si>
    <t>De Hereo</t>
  </si>
  <si>
    <t>Pasturale sua</t>
  </si>
  <si>
    <t>Petiem terre sua</t>
  </si>
  <si>
    <t>Rivo de Mundo</t>
  </si>
  <si>
    <t>Nemore et pasturali Piero de Hereone</t>
  </si>
  <si>
    <t>Sitam in loco de Lermet</t>
  </si>
  <si>
    <t>Terra Andree eius sororis</t>
  </si>
  <si>
    <t>Terra Beatricis uxoris Vitalis Comptiris</t>
  </si>
  <si>
    <t>Sitam in cruce de Lermet</t>
  </si>
  <si>
    <t>Terra heredum Nicholay de Hereo</t>
  </si>
  <si>
    <t>Sita recto domum Michaelis de Lermet</t>
  </si>
  <si>
    <t>Terra Michaelis de Lermet</t>
  </si>
  <si>
    <t>Terra heredum Peyruchonis eius fratris</t>
  </si>
  <si>
    <t>3 petiam terre + petiam + nemus + pasturale</t>
  </si>
  <si>
    <t>Alta et bassa justicia</t>
  </si>
  <si>
    <t>De omnimoda juridictione castri Devesseti et eius mandamentum</t>
  </si>
  <si>
    <t>Filia Peyruchonis de Hereo</t>
  </si>
  <si>
    <t>Sita apud Lermet</t>
  </si>
  <si>
    <t>Nemore, prato et terra Beatricis uxoris Vitalis Comptoris</t>
  </si>
  <si>
    <t>Prato et nemoris Michaelis de Lermet</t>
  </si>
  <si>
    <t>Terra columbe de Sancto Agrippano</t>
  </si>
  <si>
    <t>Sita in manso de Lermet</t>
  </si>
  <si>
    <t>Prato et pasturalis Nicholay de Hereone</t>
  </si>
  <si>
    <t>Nemore Piero de Hereo</t>
  </si>
  <si>
    <t>Terra Andree de Hereo</t>
  </si>
  <si>
    <t>3 petiam terre + 2 nemoris + pasturale + pratis + petia</t>
  </si>
  <si>
    <t>De mandamento et infra mandamento et de juridictione domus seu castri Devesset</t>
  </si>
  <si>
    <t>De Bessea Meiana</t>
  </si>
  <si>
    <t>Terra de Las Posenas qua est johanete filie Peyruchonis de Hereone</t>
  </si>
  <si>
    <t>Sitam apud Bessetam Binnencha</t>
  </si>
  <si>
    <t>Besseta</t>
  </si>
  <si>
    <t>Besseta heredum Johannis de Hereo</t>
  </si>
  <si>
    <t>Terra Peyruchonis de Hereo</t>
  </si>
  <si>
    <t>Bessetam</t>
  </si>
  <si>
    <t>In territorio de Lermet</t>
  </si>
  <si>
    <t>Terra crucis de Lermet qui est uxoris Vitalis Comptoris</t>
  </si>
  <si>
    <t>Bel Champ</t>
  </si>
  <si>
    <t>Terra uxoris Vitalis Comptoris</t>
  </si>
  <si>
    <t>Terra Johannis Jarias</t>
  </si>
  <si>
    <t>Terra Dens Buracs de Malanal</t>
  </si>
  <si>
    <t>2 pasturale + bessetam + jus terre + pratum + terra + campum</t>
  </si>
  <si>
    <t>De mandamento et in mandamento et juridictione castri Devesseti</t>
  </si>
  <si>
    <t>Devesset, sub estram</t>
  </si>
  <si>
    <t>Petri Aloayterii clerico</t>
  </si>
  <si>
    <t>Andrena</t>
  </si>
  <si>
    <t>Filia Guillermi de Hereone</t>
  </si>
  <si>
    <t>Sitam apud Freidas Peres</t>
  </si>
  <si>
    <t>Prato vocato de Fonte Frigido</t>
  </si>
  <si>
    <t>Sitam juxta crucem de Lermetam</t>
  </si>
  <si>
    <t>Terra Columbete de Clamers</t>
  </si>
  <si>
    <t xml:space="preserve">Terra Guillermi sub de Hereo </t>
  </si>
  <si>
    <t>Lo Subs de Hereone</t>
  </si>
  <si>
    <t>Filius Nicholay de Hereone condam</t>
  </si>
  <si>
    <t>Pra Lermos</t>
  </si>
  <si>
    <t>Via per quam itur de Sacnto Jorio den Dairies versus Sanctum Agrippanum</t>
  </si>
  <si>
    <t>Terra uxoris Vitalis Comptonis</t>
  </si>
  <si>
    <t>De Supra Bessam</t>
  </si>
  <si>
    <t>Terra Johannis Jarras</t>
  </si>
  <si>
    <t>Pra Chalin</t>
  </si>
  <si>
    <t>Sitam in territorio de Podio de Chalninhac</t>
  </si>
  <si>
    <t>In territorio de Chalninhac</t>
  </si>
  <si>
    <t>Prato heredum Peyruchonis de Hereo</t>
  </si>
  <si>
    <t>Terra Dens Vinatz de Malanal</t>
  </si>
  <si>
    <t>Bessetam + 3 terra + pratum + jus terre</t>
  </si>
  <si>
    <t>De mandamento et infra mandamento castri Devesset</t>
  </si>
  <si>
    <t>Devesset, sub extram</t>
  </si>
  <si>
    <t>Armandia</t>
  </si>
  <si>
    <t>Homo-licgius, justitabilis, talhabilis et expletabilis</t>
  </si>
  <si>
    <t>Situm apud Chanils</t>
  </si>
  <si>
    <t>Sitam recto domos suas</t>
  </si>
  <si>
    <t>De Creba Rata</t>
  </si>
  <si>
    <t>Del Chapil de la Maiso</t>
  </si>
  <si>
    <t>[-]to Ferant</t>
  </si>
  <si>
    <t>Podio Chamles</t>
  </si>
  <si>
    <t>Campo Merono</t>
  </si>
  <si>
    <t>La Cros</t>
  </si>
  <si>
    <t>Del Raynardest</t>
  </si>
  <si>
    <t>Del Oreto</t>
  </si>
  <si>
    <t>Juxta petiam Dens Largien</t>
  </si>
  <si>
    <t>Praferone</t>
  </si>
  <si>
    <t>La Lonianha</t>
  </si>
  <si>
    <t>Veyrana</t>
  </si>
  <si>
    <t>Lameytenchada</t>
  </si>
  <si>
    <t>Las Cortas</t>
  </si>
  <si>
    <t>Del Sanias de la Lepia</t>
  </si>
  <si>
    <t>Las Gatas</t>
  </si>
  <si>
    <t>Del Sucheiro</t>
  </si>
  <si>
    <t>De la Sun Sanhas de Sana Lobost</t>
  </si>
  <si>
    <t>De Las Conts</t>
  </si>
  <si>
    <t>Feriant</t>
  </si>
  <si>
    <t>Quod habuit […] Chanils</t>
  </si>
  <si>
    <t>Juxta domum suam</t>
  </si>
  <si>
    <t>Gotalh</t>
  </si>
  <si>
    <t>Dens Aualanheus</t>
  </si>
  <si>
    <t>Censu et talha + 6 pratum + petiam</t>
  </si>
  <si>
    <t>Domos + ortum + 15 petiam + garaytum + 3 versanam + 2 nemus + lameytenchada + 6 pratum</t>
  </si>
  <si>
    <t>Nicholao Turri de Firnis</t>
  </si>
  <si>
    <t>Johanne Turini</t>
  </si>
  <si>
    <t>Johennes</t>
  </si>
  <si>
    <t>Furnis</t>
  </si>
  <si>
    <t>Del Fayteir</t>
  </si>
  <si>
    <t>La Veiruna</t>
  </si>
  <si>
    <t>Dens Arnafenes</t>
  </si>
  <si>
    <t>Sechayro</t>
  </si>
  <si>
    <t>Sitam in loco del Sechairo</t>
  </si>
  <si>
    <t>Sitam enpra Ferrant</t>
  </si>
  <si>
    <t>Pra [-]rant</t>
  </si>
  <si>
    <t>In territorio de Lastortas</t>
  </si>
  <si>
    <t>Dens Caires</t>
  </si>
  <si>
    <t>Partem mansi</t>
  </si>
  <si>
    <t>Del Raynaudescis</t>
  </si>
  <si>
    <t>Las Gotas</t>
  </si>
  <si>
    <t>Territorio de Villalonia</t>
  </si>
  <si>
    <t>Grangiacgio de Champanhas</t>
  </si>
  <si>
    <t>Grangiacgio Dens Forins</t>
  </si>
  <si>
    <t>11 petiam + meytenchadam terre + 2 nemus + partem mansi + 3 pratum + possessiones</t>
  </si>
  <si>
    <t>Territorio de Chanils</t>
  </si>
  <si>
    <t>Johanne Barerii</t>
  </si>
  <si>
    <t>Poncio de Chanils</t>
  </si>
  <si>
    <t>Quintam partem nemoris</t>
  </si>
  <si>
    <t>Siti in nemore de Ruppe</t>
  </si>
  <si>
    <t>Rivo vocato de Borneta</t>
  </si>
  <si>
    <t>Nemore Armandi Raspaudi de Ruppe</t>
  </si>
  <si>
    <t>Nemore Symubdi Bochardi</t>
  </si>
  <si>
    <t>Quinta partem nemore</t>
  </si>
  <si>
    <t>Girando Chapati de Chambone</t>
  </si>
  <si>
    <t>De la Fauria de Sancto Agrippano</t>
  </si>
  <si>
    <t>La Rocha</t>
  </si>
  <si>
    <t>Habitator loci del Fay</t>
  </si>
  <si>
    <t>Diffart Peyro sive Alcos de la Rocha</t>
  </si>
  <si>
    <t>In mandamento et infra mandamentum castri Devesseti</t>
  </si>
  <si>
    <t>Nemore Symundi Bochardi</t>
  </si>
  <si>
    <t>Nemore nobilis viri Guillermi Rocheta domicelli</t>
  </si>
  <si>
    <t>quodam rivo vocato de Sanna inter medio prout circumcirca trimim lapidei sint ibidem plantati</t>
  </si>
  <si>
    <t>Per indiviso Petri Ronchani aquisivit titulo permutationis a Petro de la Fanria</t>
  </si>
  <si>
    <t>Duas partesprati et terre</t>
  </si>
  <si>
    <t>Duas partes prati et terre</t>
  </si>
  <si>
    <t>Promisit esse bonus et fidelis tenementarius domus Devesseti</t>
  </si>
  <si>
    <t>Devesset, infra fortalicium</t>
  </si>
  <si>
    <t>Vitale Garnerii de Masalibrant</t>
  </si>
  <si>
    <t>Sitam apud Chalmetis</t>
  </si>
  <si>
    <t>Domo Petri Brunii</t>
  </si>
  <si>
    <t>Domo Petri Rotbandi</t>
  </si>
  <si>
    <t>Dens Ortz Foras</t>
  </si>
  <si>
    <t>Orto Michaelis Brunii</t>
  </si>
  <si>
    <t>Del Lans</t>
  </si>
  <si>
    <t>Prato del Lans</t>
  </si>
  <si>
    <t>Petia Vitalis Brunii</t>
  </si>
  <si>
    <t>De Ruppe de Luysac</t>
  </si>
  <si>
    <t>Calma Meyana</t>
  </si>
  <si>
    <t>Petia Michaelis Rotbandi</t>
  </si>
  <si>
    <t>Sitam a la Cros del Bancel</t>
  </si>
  <si>
    <t>Del Bancel</t>
  </si>
  <si>
    <t>Sitam in Roneria</t>
  </si>
  <si>
    <t>Petiam liberorum de la Anhela</t>
  </si>
  <si>
    <t>Petri Rotbandi</t>
  </si>
  <si>
    <t>De Longarayt</t>
  </si>
  <si>
    <t>Petia Petri Brunii</t>
  </si>
  <si>
    <t>Petiam Bertrandi Brunii</t>
  </si>
  <si>
    <t>1 domum + 2 ortum + 5 petiam + pratum</t>
  </si>
  <si>
    <t>Talha</t>
  </si>
  <si>
    <t>Johanne de Podio Garneir</t>
  </si>
  <si>
    <t>Guillermus del Cros de Ruppe</t>
  </si>
  <si>
    <t>Brunii</t>
  </si>
  <si>
    <t>Poncius et Petronilla</t>
  </si>
  <si>
    <t>Filii Guillermus Brunii de Chalmetas condam</t>
  </si>
  <si>
    <t>Sitam almas de Vontoreir</t>
  </si>
  <si>
    <t>Terra nobilis Raymundi de Sanna</t>
  </si>
  <si>
    <t>Sitam apud Ruppem de Luyssac</t>
  </si>
  <si>
    <t>Alma meiana</t>
  </si>
  <si>
    <t>Terra Michaelis Rotbandi</t>
  </si>
  <si>
    <t>Sitam in costa vocata del Rome</t>
  </si>
  <si>
    <t>Nemore del Lancel</t>
  </si>
  <si>
    <t>Terra Blache de Chapella</t>
  </si>
  <si>
    <t>Sitam in ouchia de la Fayceta</t>
  </si>
  <si>
    <t>Carreria de Chalmetis</t>
  </si>
  <si>
    <t>Situm apud Las Chabanas</t>
  </si>
  <si>
    <t>Calma qui est supra locum de Chalmetis</t>
  </si>
  <si>
    <t>Del Clauzel</t>
  </si>
  <si>
    <t>La Rialha</t>
  </si>
  <si>
    <t>Terra Raymundi de Chalmetas</t>
  </si>
  <si>
    <t>D'Ameac</t>
  </si>
  <si>
    <t>Petiam Armandi Ariberii</t>
  </si>
  <si>
    <t>Petia Guillermi Ariberii notarii</t>
  </si>
  <si>
    <t>Partem calme</t>
  </si>
  <si>
    <t>Cumlanbar Deschas</t>
  </si>
  <si>
    <t>Itinere publico per quod itur de Raschassac versus Sactum Agrippanum</t>
  </si>
  <si>
    <t>Garaytis nobilis Raymundi de Sanna</t>
  </si>
  <si>
    <t>Supra Chalmetas</t>
  </si>
  <si>
    <t>Pratis de Las Chabanas</t>
  </si>
  <si>
    <t>Calma qui tenetur a duorum Sancti Agrippani</t>
  </si>
  <si>
    <t>Partem terre communis</t>
  </si>
  <si>
    <t>Site apud la Sucharia</t>
  </si>
  <si>
    <t>Situm in Cumba Negra</t>
  </si>
  <si>
    <t>Nemore Ariberuorum</t>
  </si>
  <si>
    <t>Partem sibi continuentem de calma</t>
  </si>
  <si>
    <t>Petiam terre + 5 petiam + pratum + nemus + partem calme + partem terre communis + Partem sibi continuentem de calma</t>
  </si>
  <si>
    <t>Guillermus del Cros de la Rocha</t>
  </si>
  <si>
    <t>Caterina</t>
  </si>
  <si>
    <t>Garaytona</t>
  </si>
  <si>
    <t>Domus Guillerme Filhote</t>
  </si>
  <si>
    <t>Prato Johannis Jordani</t>
  </si>
  <si>
    <t>Domo uxoris Gregorii Julianii</t>
  </si>
  <si>
    <t>Duos partarum ortarum</t>
  </si>
  <si>
    <t>Sita apud Faya Evesqual</t>
  </si>
  <si>
    <t>Nemore de Faya Evesqual</t>
  </si>
  <si>
    <t>Prato de Corolet</t>
  </si>
  <si>
    <t>Partem prati et pasturali</t>
  </si>
  <si>
    <t>Quod aquisivit maritus suis a vocata La Paula</t>
  </si>
  <si>
    <t>Prata Garnerii</t>
  </si>
  <si>
    <t>Pratum et pasturale</t>
  </si>
  <si>
    <t>Ibidem assensatam</t>
  </si>
  <si>
    <t>Terra censina Garnerii</t>
  </si>
  <si>
    <t>Fratre Arnaudo de Aystrat</t>
  </si>
  <si>
    <t>Petro Salvaynh sive Paulet</t>
  </si>
  <si>
    <t>Domum + 2 partem orti + partem pasturali + partem prati + pratum +  pasturale + terram Creycensa prato + arboribus ibidem cressentibus</t>
  </si>
  <si>
    <t>Arbores</t>
  </si>
  <si>
    <t>Creyscensa prati</t>
  </si>
  <si>
    <t>Faya Evesqual</t>
  </si>
  <si>
    <t>Arboribus ibidem Cressentibus</t>
  </si>
  <si>
    <t>Creycensa prati et arboribus ibidem cressentibus</t>
  </si>
  <si>
    <t>Domum + Duos partarum ortarum + Partem prati et pasturali + Pratum et pasturale + terram + Creycensa prati et arboribus ibidem cressentibus</t>
  </si>
  <si>
    <t>Situatam in Podio de Gant</t>
  </si>
  <si>
    <t>Terra Castri Belli Prandii</t>
  </si>
  <si>
    <t>Quam aquisivit a Hugoneto de La Valeta condam</t>
  </si>
  <si>
    <t>Sitam supra Rorano de la Valeta</t>
  </si>
  <si>
    <t>Terra Jacobi de la Valeta</t>
  </si>
  <si>
    <t>Nomine Jacmete de Gant uxoris Andree eius filii</t>
  </si>
  <si>
    <t>Jacmete uxor eius filii</t>
  </si>
  <si>
    <t>Levatis aque</t>
  </si>
  <si>
    <t>Las Poloyras</t>
  </si>
  <si>
    <t>Jacmete uxor eius filii + Quod olim fuit Andree de Spaetis</t>
  </si>
  <si>
    <t>Duabus levatus aque</t>
  </si>
  <si>
    <t>Partis pasturacgiorum</t>
  </si>
  <si>
    <t>Devesseti</t>
  </si>
  <si>
    <t>Situm a Las Pozoyras</t>
  </si>
  <si>
    <t>Situm in summitatem de Las Pozoyras</t>
  </si>
  <si>
    <t>Pasturalibus de Las Pinetas</t>
  </si>
  <si>
    <t>Prato Johannis de Spaetis</t>
  </si>
  <si>
    <t>Levata</t>
  </si>
  <si>
    <t>Terram + 3 pratum + terre petiam + petiam + pratum et pasturale + buabus levatus aque + partis pasturacgiorum</t>
  </si>
  <si>
    <t>Terram + Terre petiam + petiam + 4 pratum + 2 levata aque + pasturale + partis pasturacgiorum</t>
  </si>
  <si>
    <t>Quod olim fui aquisitum per Guillermum de Grant condam a Jacobo de Spaetis + Jacmete uxor eius filii</t>
  </si>
  <si>
    <t>Quod fuit aquisivit a Johanne de Spaetis + Jacmete uxor eius filii</t>
  </si>
  <si>
    <t>Quod olim fuit Petri de Peolhozas + Jacmete uxor eius filii</t>
  </si>
  <si>
    <t>Matheo de la Cela</t>
  </si>
  <si>
    <t>Guillermo Chambalonia</t>
  </si>
  <si>
    <t>Petro de Ruppe al malpinha</t>
  </si>
  <si>
    <t>Martini Gerardi</t>
  </si>
  <si>
    <t>Nobilis + domicelli</t>
  </si>
  <si>
    <t>Situm in territorio d'Arnaudes</t>
  </si>
  <si>
    <t>Pratum Artaudent</t>
  </si>
  <si>
    <t>Territorio d'Arnaudest</t>
  </si>
  <si>
    <t>Situm in territorio vocato Dastafort</t>
  </si>
  <si>
    <t>Pratum Bacalheira</t>
  </si>
  <si>
    <t>Terra quam tenent liberi Stephani Fores condam a dicta domo Devesseti</t>
  </si>
  <si>
    <t>De omnimoda juridictione domus Devesseti</t>
  </si>
  <si>
    <t>Debeaque et alta</t>
  </si>
  <si>
    <t>Saint-Agrève, in domo magistri Andree Garalis</t>
  </si>
  <si>
    <t>Magistro Andree Garalis</t>
  </si>
  <si>
    <t>Poncio Galhofa</t>
  </si>
  <si>
    <t>Johanne de Croseto</t>
  </si>
  <si>
    <t>Peyrotus et Johannes</t>
  </si>
  <si>
    <t>De Pascalis</t>
  </si>
  <si>
    <t>La Valeta dens Clotz</t>
  </si>
  <si>
    <t>G</t>
  </si>
  <si>
    <t>Picota</t>
  </si>
  <si>
    <t>In tenementum suum</t>
  </si>
  <si>
    <t>Terra de Frigidis Parietibus</t>
  </si>
  <si>
    <t>Rivo del Pereir</t>
  </si>
  <si>
    <t>Rivo de prato Chalin</t>
  </si>
  <si>
    <t>Terra Johanneti de Frigidis parietibus</t>
  </si>
  <si>
    <t>Faciam terre</t>
  </si>
  <si>
    <t>Sitam in suco de Chalvinhaco</t>
  </si>
  <si>
    <t>Terra Martinorum de Hereone</t>
  </si>
  <si>
    <t>Itinere publico per quod itur de Ruppe Paula versus Sanctum Agrippanum</t>
  </si>
  <si>
    <t>Tenementum + nemus + faciam terre</t>
  </si>
  <si>
    <t>Promisit esse fidelis domui Devesseti cum juramentum</t>
  </si>
  <si>
    <t>Johanne de Gelibertis</t>
  </si>
  <si>
    <t>Unsencio de Villa Nova Devesseti</t>
  </si>
  <si>
    <t>Situm in territorio de Picota</t>
  </si>
  <si>
    <t>Rivo de Pereiro</t>
  </si>
  <si>
    <t>Rivo de Malavalle</t>
  </si>
  <si>
    <t>Terra Johannis de Roerii de Pererio quam tenet a dicto Hospitale</t>
  </si>
  <si>
    <t>Situm in prato a Chalin</t>
  </si>
  <si>
    <t>Petia Johannis Girardi</t>
  </si>
  <si>
    <t>Pasturale + nemus + pratum</t>
  </si>
  <si>
    <t>Saint-Agrève, ante domum Guigonis de Ponte</t>
  </si>
  <si>
    <t>Guillermo Lafanria</t>
  </si>
  <si>
    <t>Alvernhasso</t>
  </si>
  <si>
    <t>Bealis</t>
  </si>
  <si>
    <t>Levatam</t>
  </si>
  <si>
    <t>Accepit et firmatur in terra domum de Devesseto</t>
  </si>
  <si>
    <t>Gameno Verilhati</t>
  </si>
  <si>
    <t>Durando Verilhati</t>
  </si>
  <si>
    <t>Johanne Roerii</t>
  </si>
  <si>
    <t>Garaytoni</t>
  </si>
  <si>
    <t>Habitator de Malavalle</t>
  </si>
  <si>
    <t>Nomine Violete eius uxor de Mala Valle</t>
  </si>
  <si>
    <t>Manso de Perererio</t>
  </si>
  <si>
    <t>Nemore Guillermi et Andree de Aulancherio</t>
  </si>
  <si>
    <t>Terra de Picota quam tenent Petri et Johanni Pascalis de Valeta</t>
  </si>
  <si>
    <t>Nemore Dens Pascals de la valeta</t>
  </si>
  <si>
    <t>Campo Johanis Roerii</t>
  </si>
  <si>
    <t>Situm in territorio de prato Achalvi</t>
  </si>
  <si>
    <t>Prata Johannis Girardi</t>
  </si>
  <si>
    <t>Terra heredum Johannis de Las Sanhas</t>
  </si>
  <si>
    <t>Saint-Agrève, in carerra ante domum Guigonis de Ponte</t>
  </si>
  <si>
    <t>Lorentio de Croso</t>
  </si>
  <si>
    <t>Petro Lorei de Montabo</t>
  </si>
  <si>
    <t>Laurentio Chambonant</t>
  </si>
  <si>
    <t>Al' Gnere de Chalmanetes</t>
  </si>
  <si>
    <t>Filius Martini Brunii</t>
  </si>
  <si>
    <t>Chalmetis de Sanna</t>
  </si>
  <si>
    <t>Rochandi</t>
  </si>
  <si>
    <t>Petias</t>
  </si>
  <si>
    <t>Sita in territorio vocato del Lans</t>
  </si>
  <si>
    <t>Terra Vitalis Sanhas</t>
  </si>
  <si>
    <t>Terra Ponci Brunii</t>
  </si>
  <si>
    <t>Petiit sui</t>
  </si>
  <si>
    <t>Prato Vitalis Sanhas</t>
  </si>
  <si>
    <t>Prato Ponci Brunii</t>
  </si>
  <si>
    <t>Petiam Vitalis Sanhas</t>
  </si>
  <si>
    <t>La Fanassa</t>
  </si>
  <si>
    <t>Cumba Nigra</t>
  </si>
  <si>
    <t>Nemoribus Bertrandi et Poncii Brunii</t>
  </si>
  <si>
    <t>Petias + petiam + 2 pratum + nemus</t>
  </si>
  <si>
    <t>Fratre Jacobi de Chalmetis</t>
  </si>
  <si>
    <t>Bonico de Vacharessas</t>
  </si>
  <si>
    <t>Sitas in loco de Chalma prope Cheynetum</t>
  </si>
  <si>
    <t>Loco et territorio de Chalma prope Chaputetum</t>
  </si>
  <si>
    <t>Territorio de Chalma prope Chaputetum</t>
  </si>
  <si>
    <t>Terra Petri de Monterotondo</t>
  </si>
  <si>
    <t>Nemore de Chameto</t>
  </si>
  <si>
    <t>Terra castri Veteri Simati</t>
  </si>
  <si>
    <t>Terra Raymundoni de Flossaco domicelli quam tenet a domo Devesseti</t>
  </si>
  <si>
    <t>Terra vocatorum Dens Arnautz</t>
  </si>
  <si>
    <t>Cumba Menusil</t>
  </si>
  <si>
    <t>Prato Guilhonis de Janesto quodam rivo medio</t>
  </si>
  <si>
    <t>Tenementim Dens Palheris</t>
  </si>
  <si>
    <t>Domus + pratum</t>
  </si>
  <si>
    <t>Tenementorium</t>
  </si>
  <si>
    <t>Domus + possessiones + pratum + tenementorium</t>
  </si>
  <si>
    <t>Domus + pratum + tenementarium</t>
  </si>
  <si>
    <t>Chalina</t>
  </si>
  <si>
    <t>Petrus et Armandos</t>
  </si>
  <si>
    <t>Petrus filius Guillermi de la Chalin condam et Armandos nepos Guillermi de la Chalin condam</t>
  </si>
  <si>
    <t>Lalbespi</t>
  </si>
  <si>
    <t>Flac Maor</t>
  </si>
  <si>
    <t>Terra castri Sancti Agrippani</t>
  </si>
  <si>
    <t>Terra Margarone Asteira</t>
  </si>
  <si>
    <t>Calmam + mansum</t>
  </si>
  <si>
    <t>Mansum + calmam</t>
  </si>
  <si>
    <t>Terra Peyroneti de Monte Rotondo</t>
  </si>
  <si>
    <t>Calmum + mansum</t>
  </si>
  <si>
    <t>Petro Carbonis de Sancto Agrippano</t>
  </si>
  <si>
    <t>Stephano Solherii</t>
  </si>
  <si>
    <t>Peironetus</t>
  </si>
  <si>
    <t>De Montreont</t>
  </si>
  <si>
    <t>Montreont</t>
  </si>
  <si>
    <t>Maritus Guigone filie Mathei de Hereone condam</t>
  </si>
  <si>
    <t>Nemonie Guigone eius uxoris</t>
  </si>
  <si>
    <t>Podio Fayni Una</t>
  </si>
  <si>
    <t>Cumba Estura</t>
  </si>
  <si>
    <t>Exceptis illis que reperirentur esse de ecclesia Santi Agrippani reperirentur tenere a dicta ecclesia quod non credut</t>
  </si>
  <si>
    <t>Nemore Johannis Sabati</t>
  </si>
  <si>
    <t>Terra Johannis Sabati</t>
  </si>
  <si>
    <t>Via qua itur de Ponte Hereons versus Tensanum</t>
  </si>
  <si>
    <t>Via que monet a dicto itinere eundi versus terra Vitalis de Ponte Monendo de dicto itinere et vadit Faire versus ad iter publicum per quod itur de Sancto Agrippano versus Chambone</t>
  </si>
  <si>
    <t>Terra et pratos Vitalis de Calma</t>
  </si>
  <si>
    <t>Tenementum + pratis</t>
  </si>
  <si>
    <t>Promisit esse fidelis tenementarius domui Devesseti</t>
  </si>
  <si>
    <t>De omnimoda juridictione castri Devesseti</t>
  </si>
  <si>
    <t>Petro Dulcis de Sancto Agrippano</t>
  </si>
  <si>
    <t>Petro Del Tremole</t>
  </si>
  <si>
    <t>Stephano Solherii de Hereone</t>
  </si>
  <si>
    <t>Carbonis</t>
  </si>
  <si>
    <t>Pro et nomine Guillermete filie Vitalis Comptoris de Sancto Agrippano condam eius uxoris</t>
  </si>
  <si>
    <t>Situm in territorio de Fonte Frigido sito in territorio de Frigidis Parietibus</t>
  </si>
  <si>
    <t>Prato Johannete uxoris Johannis de Aulanherio</t>
  </si>
  <si>
    <t>Prato heredum Nicholai de Hereone</t>
  </si>
  <si>
    <t>Prato Vitalis de Frigidis Parietibus</t>
  </si>
  <si>
    <t>Peroneto de Monterotondo</t>
  </si>
  <si>
    <t>Peyruchono del Trenoleto</t>
  </si>
  <si>
    <t>Dulcis</t>
  </si>
  <si>
    <t>Habitator Sancti Agrippani</t>
  </si>
  <si>
    <t>Del Trior</t>
  </si>
  <si>
    <t>Itinere publico per quod itur de Ruppe versus Sanctam Agrippanum</t>
  </si>
  <si>
    <t>Faysia heredum Vitalis Verilhati</t>
  </si>
  <si>
    <t>Pasturali Dens perhens</t>
  </si>
  <si>
    <t>Cruce Vassal</t>
  </si>
  <si>
    <t>Terra heredum Girardi de Rilhac</t>
  </si>
  <si>
    <t>Terra quam illi de Ruppe emerunt a Gerentono Ronini</t>
  </si>
  <si>
    <t>Terra heredum Mathei Duneira</t>
  </si>
  <si>
    <t>Sitam in manso Sanhe Serserii</t>
  </si>
  <si>
    <t>Situm in loco de Sanhe Serserii</t>
  </si>
  <si>
    <t>Terra Petri de Ruppe</t>
  </si>
  <si>
    <t>Prato heredum Guillermi de Ruppe</t>
  </si>
  <si>
    <t>Situm in territorio de Sanha Serzeir</t>
  </si>
  <si>
    <t>Pratum Soteira D'Arnaudest</t>
  </si>
  <si>
    <t>Terra Petri de Ruppe (A parte superiori)</t>
  </si>
  <si>
    <t>Rivo de Arnaudesto</t>
  </si>
  <si>
    <t>Pratis heredum Guillermi de Ruppe</t>
  </si>
  <si>
    <t>Faciam terre + petiam terre + petiam + 2 pratum</t>
  </si>
  <si>
    <t>Peyruchono del Trenole</t>
  </si>
  <si>
    <t>Petro Carlonis de Sancto Agrippano</t>
  </si>
  <si>
    <t>Peyruchonis</t>
  </si>
  <si>
    <t>Del Tremole</t>
  </si>
  <si>
    <t>Pertem nemore</t>
  </si>
  <si>
    <t>Issarti Symiont</t>
  </si>
  <si>
    <t>Situm in nemore de Ruppem</t>
  </si>
  <si>
    <t>Nemore heredum Stephani De Ruppe</t>
  </si>
  <si>
    <t>Nemore Gregorii de Rilhaco</t>
  </si>
  <si>
    <t>Rivo de Aqua Nigra</t>
  </si>
  <si>
    <t>Petia heredum Mathei Dunerie</t>
  </si>
  <si>
    <t>Partem nemore</t>
  </si>
  <si>
    <t>Petro Dulcis</t>
  </si>
  <si>
    <t>Petro de Mont Reone</t>
  </si>
  <si>
    <t>Andree de Jalibeits</t>
  </si>
  <si>
    <t>Filius Johannis Brunet al' Ariberii de Hereone</t>
  </si>
  <si>
    <t>Brunet</t>
  </si>
  <si>
    <t>Nomine Petri eius fratis</t>
  </si>
  <si>
    <t>Prato et terre Peyroneti de Monteretondo</t>
  </si>
  <si>
    <t>Partem nemoris</t>
  </si>
  <si>
    <t>Dens Vernes</t>
  </si>
  <si>
    <t>Nemore magistri Guillermi Ariberii</t>
  </si>
  <si>
    <t>Terra de Aulanheno</t>
  </si>
  <si>
    <t>Partem prati + partem nemore</t>
  </si>
  <si>
    <t>Pertem nemore + patem prati</t>
  </si>
  <si>
    <t>Guillermo Elie Militi</t>
  </si>
  <si>
    <t>Johanne Meruli Hospitalis</t>
  </si>
  <si>
    <t>Peyruchono del Tremole</t>
  </si>
  <si>
    <t>Die Sabati in festo Beati Johannis Anthoni</t>
  </si>
  <si>
    <t>Pupart</t>
  </si>
  <si>
    <t>Nomine Michaelis eius fratris et Guigone eius sororis</t>
  </si>
  <si>
    <t>Frère et sœur</t>
  </si>
  <si>
    <t>Petiam nemoris</t>
  </si>
  <si>
    <t>Site in territorio de Ruppe</t>
  </si>
  <si>
    <t>Nemore Johannis Rebolli</t>
  </si>
  <si>
    <t>Fores</t>
  </si>
  <si>
    <t>Montelheto</t>
  </si>
  <si>
    <t>Filius Stephani Fotes de Montelheto</t>
  </si>
  <si>
    <t>Pro Johanne eius fratre et eius sororis</t>
  </si>
  <si>
    <t>Sitam in cruce del Chap</t>
  </si>
  <si>
    <t>Petia de Las Chalais</t>
  </si>
  <si>
    <t>Petiam Armandoni de Ruppe</t>
  </si>
  <si>
    <t>Sitam in territorio del Batalheira</t>
  </si>
  <si>
    <t>Prato de Batalhera Guillermi Rocheta domicelli</t>
  </si>
  <si>
    <t>Terra Petri La Mola D'Arnaudes</t>
  </si>
  <si>
    <t>2 petiam terre</t>
  </si>
  <si>
    <t>2 partem terre</t>
  </si>
  <si>
    <t>Foresa</t>
  </si>
  <si>
    <t>Montelhet</t>
  </si>
  <si>
    <t>Sitam apud la Cros del Champ</t>
  </si>
  <si>
    <t>Petia Girandi Fores de Montelheto</t>
  </si>
  <si>
    <t>Petia de La Chalaras</t>
  </si>
  <si>
    <t>Petro Martini de Hereone</t>
  </si>
  <si>
    <t>Sitam apud Cruce del Champ</t>
  </si>
  <si>
    <t>Petiam Guillone eius sororis</t>
  </si>
  <si>
    <t>Petia Andree Fromenti</t>
  </si>
  <si>
    <t>Ambayseyra</t>
  </si>
  <si>
    <t>Mulier-licgia</t>
  </si>
  <si>
    <t>Cumbanrias</t>
  </si>
  <si>
    <t>Prato Guillermi Salvaynh in quo prato contiguatur pratum quod havuit a Guillermo lo sub pro Cambus factis inter eos ad ortos qui erant dicte Johannete</t>
  </si>
  <si>
    <t>Sanhassium</t>
  </si>
  <si>
    <t>Supra nemus Devesseti</t>
  </si>
  <si>
    <t>Nemore Devesseti</t>
  </si>
  <si>
    <t>Pratum + assensamentum + sanhassium</t>
  </si>
  <si>
    <t>Treisensiis</t>
  </si>
  <si>
    <t>Treisensiis + partem</t>
  </si>
  <si>
    <t>Guigone Fores de Montelheto</t>
  </si>
  <si>
    <t>Martino Pusart</t>
  </si>
  <si>
    <t>Ariberii</t>
  </si>
  <si>
    <t>Magistri notarii regi</t>
  </si>
  <si>
    <t>Graysart</t>
  </si>
  <si>
    <t>Nemore Magistri Guillermi Brocherii</t>
  </si>
  <si>
    <t>Quod hec pro indiviso cum domino de Chalmetis</t>
  </si>
  <si>
    <t>Rivo de Graysart</t>
  </si>
  <si>
    <t>Sitam in Verneto Gakletes</t>
  </si>
  <si>
    <t>Terra nobilis Bernardi de Sanna</t>
  </si>
  <si>
    <t>In manso vocato Daureyac</t>
  </si>
  <si>
    <t>Via qua itur de Sancto Agrippano versus Raschassac</t>
  </si>
  <si>
    <t>Possessionibus liberorum Petri Ariberii</t>
  </si>
  <si>
    <t>Rivo de Lerescha</t>
  </si>
  <si>
    <t>Lalien</t>
  </si>
  <si>
    <t>Nemore Ariberuorum de Hereone</t>
  </si>
  <si>
    <t>Via qui monet de Frigidis Parientibus et pertenditur versus Hereone</t>
  </si>
  <si>
    <t>Quam habuit a Johanne Bruni</t>
  </si>
  <si>
    <t>Situm in loco vocato de Platina</t>
  </si>
  <si>
    <t>Situm apud Aureyratum</t>
  </si>
  <si>
    <t>Prato liberorum Petri Ariberii condam</t>
  </si>
  <si>
    <t>Plani d'Alreneschas</t>
  </si>
  <si>
    <t>Sitam prope Pedam Asini</t>
  </si>
  <si>
    <t>Terra sua quam erint ab Armandete de Ruppe</t>
  </si>
  <si>
    <t>3 nemus + 2 terra + terras + possessiones + 3 petie terram + 3 pratum + 2 partem plani</t>
  </si>
  <si>
    <t>Martini de Ronerria perlutero</t>
  </si>
  <si>
    <t>Bertrando de Ruppe</t>
  </si>
  <si>
    <t>Sita in territorio de la Planeta</t>
  </si>
  <si>
    <t>Terra suis</t>
  </si>
  <si>
    <t>Quod nemus aquisivit a vocato Petro Solieir + circumcirca</t>
  </si>
  <si>
    <t>Quam aquisivit a Jacobo Brunii + circumcirca</t>
  </si>
  <si>
    <t>Nemus + terra</t>
  </si>
  <si>
    <t>Mondono de Flassaco</t>
  </si>
  <si>
    <t>Terra + nemus</t>
  </si>
  <si>
    <t>Terra et nemus</t>
  </si>
  <si>
    <t>Jacmeta</t>
  </si>
  <si>
    <t>Filia Jacmonis Blachonis de Masalibrant condam</t>
  </si>
  <si>
    <t>Mulier-licgia, justitabilis et expletabilis ad omnimodas voluntatis</t>
  </si>
  <si>
    <t>Partem et portionem que pertinet in tota hereditate qui condam fuit Jacobi Blachonis eius patris condam</t>
  </si>
  <si>
    <t>Siti un loco et territorio de Masalibrant</t>
  </si>
  <si>
    <t>Blachona</t>
  </si>
  <si>
    <t>Manso et territorio de Masalibrant</t>
  </si>
  <si>
    <t>Johannete Gasteo de Olenis</t>
  </si>
  <si>
    <t>Die lune in festo de collationis beati Johannis</t>
  </si>
  <si>
    <t>Pro Michaelis eius fratre et Aprila eius sororis</t>
  </si>
  <si>
    <t>Filius Jacmonis Blachonis de Masalibrant codam</t>
  </si>
  <si>
    <t>Ad omnimodas voluntates</t>
  </si>
  <si>
    <t>Laurentio de Croso</t>
  </si>
  <si>
    <t>Andree eius fratrem</t>
  </si>
  <si>
    <t>Septembre</t>
  </si>
  <si>
    <t>Marteta et Guillerma</t>
  </si>
  <si>
    <t>Filie Michaelis Berlhonis de Masalibrant</t>
  </si>
  <si>
    <t>Devesset, in camera Girandi Girandi de Pulinaco</t>
  </si>
  <si>
    <t>Johanne de Mansodonoleto diacono</t>
  </si>
  <si>
    <t>Johaneto filio Thome Chambonant</t>
  </si>
  <si>
    <t xml:space="preserve">Marteta </t>
  </si>
  <si>
    <t>Girarda</t>
  </si>
  <si>
    <t>Brossonis</t>
  </si>
  <si>
    <t>Liomas</t>
  </si>
  <si>
    <t>Parrochie Del Posit</t>
  </si>
  <si>
    <t>Sitam apud Lobas del Moli</t>
  </si>
  <si>
    <t>Petiam terre sua vocata Lo Cros del Moli</t>
  </si>
  <si>
    <t>Petia Johannis Grassati</t>
  </si>
  <si>
    <t>Lubac</t>
  </si>
  <si>
    <t>Terra Petri Rebolet</t>
  </si>
  <si>
    <t>Terra Johannis Grissati</t>
  </si>
  <si>
    <t>Rivo qui desendit de Fonto de Posato</t>
  </si>
  <si>
    <t>Prato Andree Bansonis parochie de Posato</t>
  </si>
  <si>
    <t>Terra Andree Bansonis parochie de Posato</t>
  </si>
  <si>
    <t>Sitam in manso de Rebolet</t>
  </si>
  <si>
    <t>Terra Petri Reboleti</t>
  </si>
  <si>
    <t>Terra Guillermi Brossonis</t>
  </si>
  <si>
    <t>Prato Guillermi Brossonis</t>
  </si>
  <si>
    <t>2 petiam + pratum + terre petiam + terram</t>
  </si>
  <si>
    <t>Saint-Agrève, in hospicio Stephani Brossonis</t>
  </si>
  <si>
    <t>Johanne Fabri Habitatore Ruppispaule</t>
  </si>
  <si>
    <t>Martine de Balinis</t>
  </si>
  <si>
    <t>Guillermo Lo sub sive Salvaynh</t>
  </si>
  <si>
    <t>Chasaletz et Lagrandata</t>
  </si>
  <si>
    <t>Terra ecclesie Sancti Agrippani quam tenet dicta Maigaros</t>
  </si>
  <si>
    <t>Maigaros</t>
  </si>
  <si>
    <t>Itinere publico per quod itur de Sancto Agrippano versus Chambonem</t>
  </si>
  <si>
    <t>Terra hominum de Calma</t>
  </si>
  <si>
    <t>Terra dominorum veteri Sarmati</t>
  </si>
  <si>
    <t>Manso suo</t>
  </si>
  <si>
    <t>Pro indiviso cum hominibus de Calma + circumcirca</t>
  </si>
  <si>
    <t>Confimtionibus supradictis</t>
  </si>
  <si>
    <t>Fratre Jacobo de Chalmetis Hospitalis</t>
  </si>
  <si>
    <t>Johanne Cardan sive Sanhas de Chausilhac</t>
  </si>
  <si>
    <t>Guonor de Villa Nova</t>
  </si>
  <si>
    <t>Nomine Petronille filie Gregorii Blachonis de Raschassac condam eius uxoris et Martini filii Gregorii lachonis eius conhac' et quod ipse tenetur ver' a chareis ut alii homies de Raschassac</t>
  </si>
  <si>
    <t>Loco et territorio de Raschassac</t>
  </si>
  <si>
    <t>Molendinum</t>
  </si>
  <si>
    <t>Loco et territorio de Lermet</t>
  </si>
  <si>
    <t>Prata, pasturalia et terras</t>
  </si>
  <si>
    <t>Molendinum + prata, pasturalia et terras</t>
  </si>
  <si>
    <t>Fratre Johannis Meruli</t>
  </si>
  <si>
    <t>Andree de Sirgas</t>
  </si>
  <si>
    <t>Guigone Amly[-]</t>
  </si>
  <si>
    <t>Scellé à Lyon le 16 mars 1758 Rem trocosols</t>
  </si>
  <si>
    <t>Croseto</t>
  </si>
  <si>
    <t>De Frigidis Perietibus</t>
  </si>
  <si>
    <t>Loco et territorio de Frigidis Periet</t>
  </si>
  <si>
    <t>Ville Neuve de Devesset, in hospicio Johannis Comptoris</t>
  </si>
  <si>
    <t>Guillermo Badelli</t>
  </si>
  <si>
    <t>Laurentio de Montabonello</t>
  </si>
  <si>
    <t>De La Vileta</t>
  </si>
  <si>
    <t>Terre sua</t>
  </si>
  <si>
    <t>Terram + pratum</t>
  </si>
  <si>
    <t>Devesset, subtus estram</t>
  </si>
  <si>
    <t>Armando de Pitanderiis</t>
  </si>
  <si>
    <t>Stephano Filio Durandi de Croseto</t>
  </si>
  <si>
    <t>Johanne Massardi</t>
  </si>
  <si>
    <t>Rastotel</t>
  </si>
  <si>
    <t>Pro et nomine levate molendini sui de Romigeriis</t>
  </si>
  <si>
    <t>Johanne de Hospitali de Amonaco clerico</t>
  </si>
  <si>
    <t>Petro Fayoli Romero de Chambeto</t>
  </si>
  <si>
    <t>Comptoris + de Pereiro</t>
  </si>
  <si>
    <t>Philippo + Johanne</t>
  </si>
  <si>
    <t>Philippo Comptoris Al' Chaitumpa + Johannis de Pereiro filius Guillermi de Pereiro condam</t>
  </si>
  <si>
    <t>Lorene</t>
  </si>
  <si>
    <t>De Pignota</t>
  </si>
  <si>
    <t>Terres Petri de Sugul Panet</t>
  </si>
  <si>
    <t>Durani de Bertos</t>
  </si>
  <si>
    <t>Terres Pondolionnot</t>
  </si>
  <si>
    <t>Terra Penollo de Peno que tenor ditur ab hospitali Sancti Agrippani</t>
  </si>
  <si>
    <t>Dens Valetes</t>
  </si>
  <si>
    <t>Terra Petri De Liomme quadam rivo medio</t>
  </si>
  <si>
    <t>Loba Pendua</t>
  </si>
  <si>
    <t>Calma Jud' Vitalis de pereiro</t>
  </si>
  <si>
    <t>Itinere publico tendens de Devesseto apud Sanctum Agrippanum prout facit mot' quidpanes juxta iter positis</t>
  </si>
  <si>
    <t>Servudo viro Johanne Alverii</t>
  </si>
  <si>
    <t>Fratre Peto Martoni</t>
  </si>
  <si>
    <t>Martho Gleypele servente Devesseti</t>
  </si>
  <si>
    <t>Johannete de Villeta monti' Devesseti</t>
  </si>
  <si>
    <t>Vallgalato</t>
  </si>
  <si>
    <t>Mesure de céréales utilisée</t>
  </si>
  <si>
    <t>Borzeza</t>
  </si>
  <si>
    <t>Mesure de céréale utilisée</t>
  </si>
  <si>
    <t>Tence</t>
  </si>
  <si>
    <t>Tence et Devesset</t>
  </si>
  <si>
    <t>Tence et Devesset ou Borzeza</t>
  </si>
  <si>
    <t>Brione</t>
  </si>
  <si>
    <t>Rochebonne</t>
  </si>
  <si>
    <t>Chalencon</t>
  </si>
  <si>
    <t>Saint-Agrève</t>
  </si>
  <si>
    <t>Anthoninus</t>
  </si>
  <si>
    <t>Anenent</t>
  </si>
  <si>
    <t>Habitator grangie de Ruela sive del Lep</t>
  </si>
  <si>
    <t>Roberti de Castro Novo</t>
  </si>
  <si>
    <t>Eypleyt</t>
  </si>
  <si>
    <t>De Ruela sive dal Lop</t>
  </si>
  <si>
    <t>4 détails</t>
  </si>
  <si>
    <t>Terra quartinia preceptoris Devesseti</t>
  </si>
  <si>
    <t>Prato Johannis de Ruela (A parte inferiori)</t>
  </si>
  <si>
    <t>De Jude recte constendendo et sequesdendo usque ad idem predictem et ab jude sequendo et nine dictum iter usque ad fagum vocatum de Chandeyt it de dicto fagii recte sequendo usque aus vayialhs que scita sunt ex lola nemoris de Ruela</t>
  </si>
  <si>
    <t>Meatis et terminis infra nemus de Ruela de precepto ut mandato veneris et religisi viri suis Arthaudi de Fay condam preceptoris Devesseti plantatis et directis</t>
  </si>
  <si>
    <t>Sequntur et iude usque ad terram Durandi de Ruela et per jude usque ad aliam terram quartinam dicti domini preceptoris Devesseti et ab jude descendendo usque ad dictam pratum dicti Johannis de Ruela</t>
  </si>
  <si>
    <t>Terra Dens Posarotz quadam passata media</t>
  </si>
  <si>
    <t>Terra quartina domus Devesseti</t>
  </si>
  <si>
    <t>Prato suo quadam passatam intermedia</t>
  </si>
  <si>
    <t>Prati prandu</t>
  </si>
  <si>
    <t>Terra quartina preceptoris Devesseti</t>
  </si>
  <si>
    <t>Situm inter nemore vocata de Ruela et de Bello Prandio</t>
  </si>
  <si>
    <t>Ipsis nemoribus</t>
  </si>
  <si>
    <t>Itinere quo itur et permenti</t>
  </si>
  <si>
    <t>Quod hec in nemore de Ruela de capiendo de lignis sive modernis perediffitando domos et grangias dicti loci et non de alibi et delignis fixit sive Sechas per suo calesacgio et de pasturis uti pro sive herbis prout consuenerut</t>
  </si>
  <si>
    <t>Tapones</t>
  </si>
  <si>
    <t>Metarum</t>
  </si>
  <si>
    <t>Per quod ipsum aquisivit a fratre Michaelo pilosi de trico</t>
  </si>
  <si>
    <t>Leci et metarum</t>
  </si>
  <si>
    <t>Libres Saeorum sive Casi Boni et campetenti</t>
  </si>
  <si>
    <t>Devesse, intra castri</t>
  </si>
  <si>
    <t>Fratre Petro</t>
  </si>
  <si>
    <t>Francisco de Eynet</t>
  </si>
  <si>
    <t>Johanne Vitali ininore clerico</t>
  </si>
  <si>
    <t>Laurentio Sabii Al' Ariberii</t>
  </si>
  <si>
    <t>8 détails</t>
  </si>
  <si>
    <t>Scellé à Lyon le 16 mars 1758…</t>
  </si>
  <si>
    <t>Raschassaco</t>
  </si>
  <si>
    <t>Jacobi Ruelli</t>
  </si>
  <si>
    <t>Viaynam Palhentham</t>
  </si>
  <si>
    <t>Ortis Honchus et orta dicti Petri</t>
  </si>
  <si>
    <t>Domum Teulanha</t>
  </si>
  <si>
    <t>Orto et patili dicti Petri</t>
  </si>
  <si>
    <t>Pernam palentha</t>
  </si>
  <si>
    <t>Dens Blachos</t>
  </si>
  <si>
    <t>Domus suus</t>
  </si>
  <si>
    <t>Patili dicti loci</t>
  </si>
  <si>
    <t>Que sint Peyruchonis Gamelli + circumcirca</t>
  </si>
  <si>
    <t>Patilibus loci de Raschassaco</t>
  </si>
  <si>
    <t>Sitos in loco de Rascassaco</t>
  </si>
  <si>
    <t>Tronssatz (A parte ventus)</t>
  </si>
  <si>
    <t>Situm retro domum suam magnam a parte castri Sancti Agrippani</t>
  </si>
  <si>
    <t>Sanhatum</t>
  </si>
  <si>
    <t>Lo Piahecho</t>
  </si>
  <si>
    <t>Honchus suis</t>
  </si>
  <si>
    <t>Itinere quo itur de Sancto Romano versus Bastid</t>
  </si>
  <si>
    <t>Domo suo</t>
  </si>
  <si>
    <t>Pra Beino</t>
  </si>
  <si>
    <t>Prato Berno</t>
  </si>
  <si>
    <t>Prato de Betant</t>
  </si>
  <si>
    <t>Terris et pratis Barthi Columbi</t>
  </si>
  <si>
    <t>Fonte Frigido</t>
  </si>
  <si>
    <t>Terra Petri De Frigido perietibus</t>
  </si>
  <si>
    <t>Itinere quo itur de Sancto Agrippano usque Sanctim Itorum</t>
  </si>
  <si>
    <t>Terra De Freysseneto</t>
  </si>
  <si>
    <t>Calma Petri de Frigidis Peretibus</t>
  </si>
  <si>
    <t>Situm in Bello Campe</t>
  </si>
  <si>
    <t>Situm in loco de Bello Campo</t>
  </si>
  <si>
    <t>Itinere quo itur de Sancto Agrippano versus Sanctum Itorum</t>
  </si>
  <si>
    <t>Terra Petri de Lhemeto</t>
  </si>
  <si>
    <t>Terra de Frigidis Perietibus (a parte Fontis Frigidis)</t>
  </si>
  <si>
    <t>Las Yssartaas</t>
  </si>
  <si>
    <t>Petia terre de Freysseneto</t>
  </si>
  <si>
    <t>Terra Dons Tronssatz</t>
  </si>
  <si>
    <t>Passata perni valons</t>
  </si>
  <si>
    <t>Terra appelata Dons Fongonis qui c' dons Tronssatz</t>
  </si>
  <si>
    <t>Sitas in territorio Dons Cayrens</t>
  </si>
  <si>
    <t>Dons Cayrens Cronssatz</t>
  </si>
  <si>
    <t>Terra appellata del Petit Valons</t>
  </si>
  <si>
    <t>Calma toni</t>
  </si>
  <si>
    <t>Del Tront</t>
  </si>
  <si>
    <t>Calma appelata Chalni Forana</t>
  </si>
  <si>
    <t xml:space="preserve">Serrena nemorum commumum appelatorum de Costa Mayoni </t>
  </si>
  <si>
    <t>Charrina qua itur de loco de Raschassaco versus Costa Matoni</t>
  </si>
  <si>
    <t>Sita in nemoribis de Costa Mayoni</t>
  </si>
  <si>
    <t>Dens Forigiere</t>
  </si>
  <si>
    <t>Situs in costa Mayoni</t>
  </si>
  <si>
    <t>Terra Dens Tronssatz</t>
  </si>
  <si>
    <t>Nemoribus de Costa Mayoni</t>
  </si>
  <si>
    <t>Nemore Agrippani Ariberi</t>
  </si>
  <si>
    <t>Dons Faysatz</t>
  </si>
  <si>
    <t>Itinere quo itur de Raschassaco apud Greysart</t>
  </si>
  <si>
    <t>Terra domus Tronssatz appellata de la Mayr</t>
  </si>
  <si>
    <t>Situm apud Revum del Moli</t>
  </si>
  <si>
    <t>Terra Vialoni de capella</t>
  </si>
  <si>
    <t>Terra Dens Cronssatz</t>
  </si>
  <si>
    <t>Dol Eme</t>
  </si>
  <si>
    <t>Pratum Recog' appellatis Danat'</t>
  </si>
  <si>
    <t>De Puteo</t>
  </si>
  <si>
    <t>Aquisita Dens Ariberius</t>
  </si>
  <si>
    <t>Terra Nobili Raynaudi de Assalma</t>
  </si>
  <si>
    <t>Prato Dons Cronssatz appellato Dons Pantiers</t>
  </si>
  <si>
    <t>Petiam terre Dons Conssatz appellata del Prahal</t>
  </si>
  <si>
    <t>De la Chirola</t>
  </si>
  <si>
    <t>Itinere publico quo itur de Sancto Agrippano ad Bastid</t>
  </si>
  <si>
    <t>Itinere quo itur de Raschassaco versus Lestlanda</t>
  </si>
  <si>
    <t>Coderto de le Silansa</t>
  </si>
  <si>
    <t>Terra Dons Cronssatz</t>
  </si>
  <si>
    <t>De la Ching</t>
  </si>
  <si>
    <t>Petia terre Dons Crossatz appellata Dons Fornatz</t>
  </si>
  <si>
    <t>Petiam prati</t>
  </si>
  <si>
    <t>Cens en seigle (carteria)</t>
  </si>
  <si>
    <t>Pra Berno</t>
  </si>
  <si>
    <t>Hereditate de Mundo</t>
  </si>
  <si>
    <t>Hominum de Chalmetis</t>
  </si>
  <si>
    <t>Pratis Petri de Hermeto quod prate intermerio</t>
  </si>
  <si>
    <t>Garayto dicti Petri</t>
  </si>
  <si>
    <t>Appellata de Bertrant</t>
  </si>
  <si>
    <t>Passata qua itur de Raschassaco apud pasturalia de Bertant</t>
  </si>
  <si>
    <t>De Las Yssertaas</t>
  </si>
  <si>
    <t>31 détails + pas fini</t>
  </si>
  <si>
    <t>Sanholis vel Tronssac</t>
  </si>
  <si>
    <t>Habitator de Raschassaco</t>
  </si>
  <si>
    <t>Casale Sil</t>
  </si>
  <si>
    <t>Carrera et patili de Raschassaco</t>
  </si>
  <si>
    <t>Domo et casale Petri Blachi</t>
  </si>
  <si>
    <t>La Granga</t>
  </si>
  <si>
    <t>Grangie sue</t>
  </si>
  <si>
    <t>Itinere quo itur de Sancto Agrippano ad Bastidam</t>
  </si>
  <si>
    <t>Dol Fornatz</t>
  </si>
  <si>
    <t>Petia Petri Blachonis appellata de la Crirosa</t>
  </si>
  <si>
    <t>Sita subtus Domum Dons Gamens</t>
  </si>
  <si>
    <t>Orto Petri Blachonis</t>
  </si>
  <si>
    <t>Carreria de la Font</t>
  </si>
  <si>
    <t>Dol Prahas</t>
  </si>
  <si>
    <t>Petia dol Pos Petri Blachoni</t>
  </si>
  <si>
    <t>Dons Plantiert</t>
  </si>
  <si>
    <t>Petia terre Petri Blachoni</t>
  </si>
  <si>
    <t>Prato quod erat Dons Gammens quod est nunc Petri Blachonis</t>
  </si>
  <si>
    <t>Petiam terre Dons Gammens qui est Petri Blachoni</t>
  </si>
  <si>
    <t>Dons Cayreons</t>
  </si>
  <si>
    <t>Terra et prato Jacobi Blachoni qui fuerant Dons Ariberut</t>
  </si>
  <si>
    <t>De la Mayt</t>
  </si>
  <si>
    <t>Rivo de Gieysart</t>
  </si>
  <si>
    <t>Nemore et terra Petri Blachoni</t>
  </si>
  <si>
    <t>Situm oltres de la Fonteta</t>
  </si>
  <si>
    <t>Nemore Agrippani Aribui</t>
  </si>
  <si>
    <t>Denatus</t>
  </si>
  <si>
    <t>Itinere quo itur de Sancto Agrippano apud Bastidam</t>
  </si>
  <si>
    <t>Pratis Petri Bmachonis</t>
  </si>
  <si>
    <t>Del Prachal</t>
  </si>
  <si>
    <t>Prato de Puteo Petri Blachoni</t>
  </si>
  <si>
    <t>Dons Plantiers</t>
  </si>
  <si>
    <t>Petia Petri Blachonis appellata de Puteo</t>
  </si>
  <si>
    <t>Pasturali Vialoni de Capella</t>
  </si>
  <si>
    <t>Costa Petri Blachoni</t>
  </si>
  <si>
    <t>Del Berne</t>
  </si>
  <si>
    <t>Pasturalibus Petri Blachoni Columbi</t>
  </si>
  <si>
    <t>Prato del Moli Petri Blachoni</t>
  </si>
  <si>
    <t>Dol Gaaryo</t>
  </si>
  <si>
    <t>Petia De Bralaffani de Raschassaco</t>
  </si>
  <si>
    <t>Prato Petri Blachoni</t>
  </si>
  <si>
    <t>Prato Petri Blachoni (a parte superiori)</t>
  </si>
  <si>
    <t>De la Costa Del Moli</t>
  </si>
  <si>
    <t>Esclausa de Raschassaco</t>
  </si>
  <si>
    <t>De Calma Forana</t>
  </si>
  <si>
    <t>Pasturale de Ruppe Petri Blachoni</t>
  </si>
  <si>
    <t>De la Chirosa</t>
  </si>
  <si>
    <t>Coderto communi de Raschassaco</t>
  </si>
  <si>
    <t>De Retro</t>
  </si>
  <si>
    <t>Prato de Longalassa Petri Blachoni</t>
  </si>
  <si>
    <t>Faysssia Petri Blachonis</t>
  </si>
  <si>
    <t>Dens Fongonrs</t>
  </si>
  <si>
    <t>Pasturale Petri Blachoni (a parte superiori)</t>
  </si>
  <si>
    <t>25 détails</t>
  </si>
  <si>
    <t>Delmento</t>
  </si>
  <si>
    <t>Vieux code</t>
  </si>
  <si>
    <t>Meyfrechas</t>
  </si>
  <si>
    <t>Michaël</t>
  </si>
  <si>
    <t>De Villario</t>
  </si>
  <si>
    <t>Joannis De Brunet</t>
  </si>
  <si>
    <t>Ambaysera</t>
  </si>
  <si>
    <t>Margaros</t>
  </si>
  <si>
    <t>Austorgonis de Croseto</t>
  </si>
  <si>
    <t>Matheus et Joannes</t>
  </si>
  <si>
    <t>Jacmetus Blanchonis</t>
  </si>
  <si>
    <r>
      <t xml:space="preserve">Matheus, Johannes et </t>
    </r>
    <r>
      <rPr>
        <sz val="11"/>
        <rFont val="Calibri"/>
        <family val="2"/>
        <scheme val="minor"/>
      </rPr>
      <t>Bartholomeus</t>
    </r>
  </si>
  <si>
    <t>Sancta Agripana</t>
  </si>
  <si>
    <t>Peyroz</t>
  </si>
  <si>
    <t>Beatrix et Marieta</t>
  </si>
  <si>
    <t>Mondonus</t>
  </si>
  <si>
    <t>Girandis et Martinus</t>
  </si>
  <si>
    <t>De La Fontetas</t>
  </si>
  <si>
    <t>Peyronicus</t>
  </si>
  <si>
    <t>De La Valeta Raybrant</t>
  </si>
  <si>
    <t>De Las Ruschas</t>
  </si>
  <si>
    <t>De Ruppeta</t>
  </si>
  <si>
    <t>Et alii</t>
  </si>
  <si>
    <t>Bartholomeus + Bonafides, Peyronetus, Guigo et Vialonus + Matheus et Johanenus</t>
  </si>
  <si>
    <t>De Saint Anthonio</t>
  </si>
  <si>
    <t>De Solemniaco</t>
  </si>
  <si>
    <t>Dens Pontelz</t>
  </si>
  <si>
    <t>Fonleti</t>
  </si>
  <si>
    <t>Garaysona</t>
  </si>
  <si>
    <t>Guilloneti</t>
  </si>
  <si>
    <t>Guilloneta</t>
  </si>
  <si>
    <t>Martconis</t>
  </si>
  <si>
    <t>Palacuer Dorba</t>
  </si>
  <si>
    <t>Pigassii</t>
  </si>
  <si>
    <t>Rouchonis de Sancto Agrippano</t>
  </si>
  <si>
    <t>Samuel</t>
  </si>
  <si>
    <t>Page dure à lire + finit au 1481</t>
  </si>
  <si>
    <t>Débute au 1483</t>
  </si>
  <si>
    <t>Masoerii</t>
  </si>
  <si>
    <t>Turris + Turris Dens Forus</t>
  </si>
  <si>
    <t>Turris</t>
  </si>
  <si>
    <t>Dulcis De Ruppe</t>
  </si>
  <si>
    <t>Joanne Pupart</t>
  </si>
  <si>
    <t>Bertholomeus</t>
  </si>
  <si>
    <t>De Frigidis Pietibus</t>
  </si>
  <si>
    <t>Anenend</t>
  </si>
  <si>
    <t>Philippo et Johanne</t>
  </si>
  <si>
    <t>Comproris et de Pereiro</t>
  </si>
  <si>
    <t>Sanholis</t>
  </si>
  <si>
    <t>De Sainte Anthonio</t>
  </si>
  <si>
    <t>Segureti del Cosini</t>
  </si>
  <si>
    <t>Servienti de Chanpanhac</t>
  </si>
  <si>
    <t>Lardayrol</t>
  </si>
  <si>
    <t>Richa de Mais</t>
  </si>
  <si>
    <t>Johannes + Johannes</t>
  </si>
  <si>
    <t>Socherii + Sanhas de Podio Brunent</t>
  </si>
  <si>
    <t>Pastotrali Dorba</t>
  </si>
  <si>
    <r>
      <t xml:space="preserve">Filius </t>
    </r>
    <r>
      <rPr>
        <sz val="11"/>
        <rFont val="Calibri"/>
        <family val="2"/>
        <scheme val="minor"/>
      </rPr>
      <t>Bartholomei</t>
    </r>
    <r>
      <rPr>
        <sz val="11"/>
        <color theme="1"/>
        <rFont val="Calibri"/>
        <family val="2"/>
        <scheme val="minor"/>
      </rPr>
      <t xml:space="preserve"> de Malagayta</t>
    </r>
  </si>
  <si>
    <t>Accord</t>
  </si>
  <si>
    <t>Boscherii</t>
  </si>
  <si>
    <t>Répertoire lit Mola</t>
  </si>
  <si>
    <t>Bruni de Sancto Agrippano</t>
  </si>
  <si>
    <t>Chalvent</t>
  </si>
  <si>
    <t>Petrus et Laurentius</t>
  </si>
  <si>
    <t>De la Rocha + De Rilhac + Maysonitz + De Ruppe + Verhilati + Bartholomei de Ruppe + de Crorum de Ruppe + Roerii + Raspaut</t>
  </si>
  <si>
    <t>Filia Guillermi Bartholomei de Ruppe</t>
  </si>
  <si>
    <r>
      <t xml:space="preserve">Relicta </t>
    </r>
    <r>
      <rPr>
        <sz val="11"/>
        <rFont val="Calibri"/>
        <family val="2"/>
        <scheme val="minor"/>
      </rPr>
      <t>Bartholomei</t>
    </r>
    <r>
      <rPr>
        <sz val="11"/>
        <color theme="1"/>
        <rFont val="Calibri"/>
        <family val="2"/>
        <scheme val="minor"/>
      </rPr>
      <t xml:space="preserve"> de La Vileta condam</t>
    </r>
  </si>
  <si>
    <t>Pro et nomine Bartholomee eius uxoris, filie Vitalis Mola de Sancto Agrippano condam</t>
  </si>
  <si>
    <t>Bartholomei</t>
  </si>
  <si>
    <t xml:space="preserve">Bertholomeus de Ruppeta nomine Johannis et Vitalis de Ruppeta fratrum suorum + Bonafides de Verneto nomine Johannis et Petri de Vermeto eius fratrum et Catrine eorum sororum + Peyruchonetus de Verneto nomine Guillermeti eius sorrii + Matheus de la Rocheta nomine Petronille et Andrene de la Rocheta eius sororum + Johanenus de la Rocheta nomine Pineti eius fratris et Guiillome Pastoris et Geremie eius sororis + Guigo de Verneto nomine Bartholomeo eius fratris et nomine liberorum Johannis de Verneto condam + Vialonis de Verneto nomine Poncii, Vilete et Andrene eius sororum </t>
  </si>
  <si>
    <t>Bartholomeo de Malagaita</t>
  </si>
  <si>
    <t xml:space="preserve">Bartholomeo Fabri de Montefolcont Peneterio </t>
  </si>
  <si>
    <t>Besseta Petronille uxoris Bartholomei Molati</t>
  </si>
  <si>
    <t>Pra uxoris Pra uxoris Bartholomei Molati</t>
  </si>
  <si>
    <t>Prato Bartholomei Alna</t>
  </si>
  <si>
    <t>Terra Bartholomei Columbi</t>
  </si>
  <si>
    <t>Terra Bartholomei Columbo</t>
  </si>
  <si>
    <t>Petia terre Bartholomei Columbi</t>
  </si>
  <si>
    <t>Petia appellata de Bramassam qui c' Bartholomei Columbi</t>
  </si>
  <si>
    <t>Prato et terra Bartholomei Columbi</t>
  </si>
  <si>
    <t>Prati et terri Bartholomei Colma</t>
  </si>
  <si>
    <t>Pasturale Bartholomei Colma</t>
  </si>
  <si>
    <t>Prato de Lyssaitaa Bartholomei</t>
  </si>
  <si>
    <t>Houchia Bartholomei Coherbi</t>
  </si>
  <si>
    <t>Houchia Bartholomei Columbi</t>
  </si>
  <si>
    <t>Nemore Bartholomei Columbi</t>
  </si>
  <si>
    <t>Pasturali de Lesclanso Bartholomei Columbi</t>
  </si>
  <si>
    <t>Pratis Bartholomeis Cumbi</t>
  </si>
  <si>
    <t>Pratis Bartholomeis Columbi</t>
  </si>
  <si>
    <t>Calma Bartholomei Columbi</t>
  </si>
  <si>
    <r>
      <t xml:space="preserve">Matheus et Johannes et </t>
    </r>
    <r>
      <rPr>
        <sz val="11"/>
        <rFont val="Calibri"/>
        <family val="2"/>
        <scheme val="minor"/>
      </rPr>
      <t>Bartholomeus</t>
    </r>
  </si>
  <si>
    <t>De Viridario</t>
  </si>
  <si>
    <t>Maysonessa</t>
  </si>
  <si>
    <t>Maysonitz</t>
  </si>
  <si>
    <t>Lo Sub de Hereone</t>
  </si>
  <si>
    <t>Non présent dans le répertoire</t>
  </si>
  <si>
    <t>Barrerii</t>
  </si>
  <si>
    <t>Relicta</t>
  </si>
  <si>
    <t>Manque le début</t>
  </si>
  <si>
    <t>Page barrée et pas finie</t>
  </si>
  <si>
    <t>Barré</t>
  </si>
  <si>
    <t>Et 431</t>
  </si>
  <si>
    <t>Page barrée</t>
  </si>
  <si>
    <t>Varena Ou Valeta</t>
  </si>
  <si>
    <t>Masuerii</t>
  </si>
  <si>
    <t>Johannes et Girardus</t>
  </si>
  <si>
    <t>Joannis de Bosco</t>
  </si>
  <si>
    <t>Stephani</t>
  </si>
  <si>
    <t>Page copie 48 H 1675</t>
  </si>
  <si>
    <t>Domos + grangias + possessiones</t>
  </si>
  <si>
    <t>Territorio del Mazel</t>
  </si>
  <si>
    <t>Territorio de Saletis de Bellux</t>
  </si>
  <si>
    <t>Territorio de Las Ruschas</t>
  </si>
  <si>
    <t>Terra de Paulhac</t>
  </si>
  <si>
    <t>Hiis quod idem petrus aquisivit ab aliis personis</t>
  </si>
  <si>
    <t>1 Achat</t>
  </si>
  <si>
    <t>Petro Porro</t>
  </si>
  <si>
    <t>Pro nomine dicti Michaelis Hohannes eius frater ut albo asserebant</t>
  </si>
  <si>
    <t>Petro de Monte Rotondo</t>
  </si>
  <si>
    <t>Poduo Brunent</t>
  </si>
  <si>
    <t>Terra heredum Michaelis d'Avenas</t>
  </si>
  <si>
    <t>Étiquettes de lignes</t>
  </si>
  <si>
    <t>(vide)</t>
  </si>
  <si>
    <t>Total général</t>
  </si>
  <si>
    <t>Étiquettes de colonnes</t>
  </si>
  <si>
    <t>Nombre de Prénom</t>
  </si>
  <si>
    <t>Medietatem teritorii</t>
  </si>
  <si>
    <t>Medietatem loci</t>
  </si>
  <si>
    <t xml:space="preserve">Tertia partius totius tenementi </t>
  </si>
  <si>
    <t>Aygatam</t>
  </si>
  <si>
    <t>Locum</t>
  </si>
  <si>
    <t>Terre costa</t>
  </si>
  <si>
    <t>Partem nemus</t>
  </si>
  <si>
    <t>Partem pastuorum communum</t>
  </si>
  <si>
    <t>Partem pastuum</t>
  </si>
  <si>
    <t>Partem pasturalium</t>
  </si>
  <si>
    <t>Partem petiam</t>
  </si>
  <si>
    <t>Partem terre</t>
  </si>
  <si>
    <t>Loci</t>
  </si>
  <si>
    <t>Percursum</t>
  </si>
  <si>
    <t>Usum</t>
  </si>
  <si>
    <t>Expleytium</t>
  </si>
  <si>
    <t>Patile comuni</t>
  </si>
  <si>
    <t>Quartam partem loci</t>
  </si>
  <si>
    <t>Quartam partem territorii</t>
  </si>
  <si>
    <t>Sessoirata vinee</t>
  </si>
  <si>
    <t>Territorii</t>
  </si>
  <si>
    <t>Domo Bartholomei Columbi quodam itinere intermedio quo itur de Raschassaco apud Sanctum Agrippanum (A parte superiori)</t>
  </si>
  <si>
    <t>Prato Guillermi Bayro vocatum de Ladaniela</t>
  </si>
  <si>
    <t>Via qua itur de Font Moreta versus Anicium</t>
  </si>
  <si>
    <t>Sita in Manso de Ladaniela</t>
  </si>
  <si>
    <t>Via qua itur d'Orba versus Chanchauza</t>
  </si>
  <si>
    <t>Sanha Petri del Chiev</t>
  </si>
  <si>
    <t>Rentré dans QGIS</t>
  </si>
  <si>
    <t>Implaçable</t>
  </si>
  <si>
    <t>Pasturale Dens Pelacuers</t>
  </si>
  <si>
    <t>Versana Jacobi et Johanis Pelacuer</t>
  </si>
  <si>
    <t>Petie sue quadam via media</t>
  </si>
  <si>
    <t>Chaudaralis</t>
  </si>
  <si>
    <t>(Tous)</t>
  </si>
  <si>
    <t>Denesia</t>
  </si>
  <si>
    <t>Nombre de Code</t>
  </si>
  <si>
    <t>Podio Brunent</t>
  </si>
  <si>
    <t>Bealis molendini sui de la Terrassa vocato de Molinot</t>
  </si>
  <si>
    <t>Chalma</t>
  </si>
  <si>
    <t>Raschassac</t>
  </si>
  <si>
    <t>Habitator de Croseto</t>
  </si>
  <si>
    <t>Frigidis Perietibus</t>
  </si>
  <si>
    <t>Nombre de Localité</t>
  </si>
  <si>
    <t>Origine</t>
  </si>
  <si>
    <t>Informations familiales</t>
  </si>
  <si>
    <t>Matheus filius Stephani Chalment de Mendigolis</t>
  </si>
  <si>
    <t>Habite Chantilhac</t>
  </si>
  <si>
    <t>al' Cardini de Chantilhac</t>
  </si>
  <si>
    <t>Dit de Sancto Agrippano; Habitator de Raschassac</t>
  </si>
  <si>
    <t>Filius Johannis Pupart</t>
  </si>
  <si>
    <t>Habitator de Romenas</t>
  </si>
  <si>
    <t>Filius Guillermi Clementis de Socheria</t>
  </si>
  <si>
    <t>Heredes […] de Vilario condam</t>
  </si>
  <si>
    <t>Situm in territotio de Las Costas</t>
  </si>
  <si>
    <t>Sancto Juliano in Boteria</t>
  </si>
  <si>
    <t>Mendigolas ; Parrochie de Tensano</t>
  </si>
  <si>
    <t>Parochie de Juliani in Valcancia</t>
  </si>
  <si>
    <t>Pasturale de Freysseneto appelato de Lame</t>
  </si>
  <si>
    <t>Pratis de Gaut</t>
  </si>
  <si>
    <t>Pasturalibus de Gaut</t>
  </si>
  <si>
    <t>Terra Dens Vinatz de Malaval</t>
  </si>
  <si>
    <t>de Coray</t>
  </si>
  <si>
    <t>Rivo de Comdoy</t>
  </si>
  <si>
    <t>Parrochie de Masthanelha</t>
  </si>
  <si>
    <t>Total Froment</t>
  </si>
  <si>
    <t>Total Seigle</t>
  </si>
  <si>
    <t>Total Avoine</t>
  </si>
  <si>
    <t>Terra claustre de Tensano prout protenditur via que vadit versus Masalibrant de loco Tensani</t>
  </si>
  <si>
    <r>
      <t xml:space="preserve">Via qua itur de </t>
    </r>
    <r>
      <rPr>
        <sz val="11"/>
        <rFont val="Calibri"/>
        <family val="2"/>
        <scheme val="minor"/>
      </rPr>
      <t>Ponte</t>
    </r>
    <r>
      <rPr>
        <sz val="11"/>
        <color theme="1"/>
        <rFont val="Calibri"/>
        <family val="2"/>
        <scheme val="minor"/>
      </rPr>
      <t xml:space="preserve"> de Martz versus Anicum</t>
    </r>
  </si>
  <si>
    <t>Strata [publica] de Hugonis versus Lanastres</t>
  </si>
  <si>
    <t>Itinere publico quo itur de Devesseto apud Montem Faltonem</t>
  </si>
  <si>
    <t>Srata per qua itur de Font Moreta versus Anicium</t>
  </si>
  <si>
    <t>Via qua itur de Chalmariais versus Tensanum</t>
  </si>
  <si>
    <t>Itinere quo itur de Raschassaco usque Sanctum Agrippanum</t>
  </si>
  <si>
    <t>Sitam juxta iter quo quo itur de Devesseto apud Montem Faltonem</t>
  </si>
  <si>
    <t>del Bayl</t>
  </si>
  <si>
    <t>Tenements :</t>
  </si>
  <si>
    <t>Las Putatas</t>
  </si>
  <si>
    <t>Situatam in Podio de Gaut</t>
  </si>
  <si>
    <t>De Lasrialhas</t>
  </si>
  <si>
    <t>Sitam in succo de Gaut</t>
  </si>
  <si>
    <t>Uxor Peyrochonis Roerii</t>
  </si>
  <si>
    <r>
      <t xml:space="preserve">Nomine Peyruchonis Roerii et </t>
    </r>
    <r>
      <rPr>
        <sz val="11"/>
        <rFont val="Calibri"/>
        <family val="2"/>
        <scheme val="minor"/>
      </rPr>
      <t>Bartholomei</t>
    </r>
    <r>
      <rPr>
        <sz val="11"/>
        <color theme="1"/>
        <rFont val="Calibri"/>
        <family val="2"/>
        <scheme val="minor"/>
      </rPr>
      <t xml:space="preserve"> Roerii de Ruppe eius fratrum + Caterine eius uxor</t>
    </r>
  </si>
  <si>
    <t>1 domus + 1 partem pasturalium commune + 2 prati + 8 petiae + 2 nemus</t>
  </si>
  <si>
    <t>2 Domos + sanhatz + 4 orti + 7 prati + 2 partem pasturale + 2 ouchiae + terra + 2 pasturalia + nemus + blachia</t>
  </si>
  <si>
    <t>2 ortum + 2 prati</t>
  </si>
  <si>
    <t>3 orti + 6 prati + partem pasturale + ouchiae + terra et pasturalia + 2 nemus + domo, chambro, grangia uxoris sue et ortis qui habuit a dicta Jalaa + 1 ortum + partem pasturalium commune + 1 domus</t>
  </si>
  <si>
    <t>Johannes Roerii nomine Peyruchonis Roerii et Bartholomei Roerii eius fratrum, Jacmeta uxor Peyruchonis Roerii et Petris Duneria et Laurenti Duneria eius fratrum</t>
  </si>
  <si>
    <t>Et début 135</t>
  </si>
  <si>
    <t>Beal</t>
  </si>
  <si>
    <t>Mulier-Licgia</t>
  </si>
  <si>
    <t>Talhabiles ad omnimodas voluntates</t>
  </si>
  <si>
    <t>Prato Petri Amati sive Saureti de Chanclausa</t>
  </si>
  <si>
    <t>Curé de Devesset</t>
  </si>
  <si>
    <t>Ariberius filius Poncii de Hereone</t>
  </si>
  <si>
    <t>Repésente</t>
  </si>
  <si>
    <t>Total sous tournois</t>
  </si>
  <si>
    <t>GF</t>
  </si>
  <si>
    <t>Total monnaie</t>
  </si>
  <si>
    <t>Johane de Mundo</t>
  </si>
  <si>
    <t>Pascalono de Michalo</t>
  </si>
  <si>
    <t>Artaude Macuda</t>
  </si>
  <si>
    <t>Matheo Macuda</t>
  </si>
  <si>
    <t>Matheo Maifreschis</t>
  </si>
  <si>
    <t>Michaele Maifreschis</t>
  </si>
  <si>
    <t>Thoma Chanbonant</t>
  </si>
  <si>
    <t>Petro Coata de Crosti</t>
  </si>
  <si>
    <t>Petro de Chalmetis prope Chalmeriais</t>
  </si>
  <si>
    <t>Johanne de Chalmetis prope Chalmariais</t>
  </si>
  <si>
    <t>Guillermo Badelhi</t>
  </si>
  <si>
    <t>Jacobo Fabri de Mundo habitator Ruppispaule</t>
  </si>
  <si>
    <t>Nombre de Mois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</si>
</sst>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44" formatCode="_-* #,##0.00\ &quot;€&quot;_-;\-* #,##0.00\ &quot;€&quot;_-;_-* &quot;-&quot;??\ &quot;€&quot;_-;_-@_-"/>
    <numFmt numFmtId="164" formatCode="_-* #,##0.00\ _€_-;\-* #,##0.00\ _€_-;_-* &quot;-&quot;??\ _€_-;_-@_-"/>
  </numFmts>
  <fonts count="14" x14ac:knownFonts="1">
    <font>
      <sz val="11"/>
      <color theme="1"/>
      <name val="Calibri"/>
      <family val="2"/>
      <scheme val="minor"/>
    </font>
    <font>
      <sz val="11"/>
      <color rgb="FFFF0000"/>
      <name val="Calibri"/>
      <family val="2"/>
      <scheme val="minor"/>
    </font>
    <font>
      <sz val="1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00B050"/>
      <name val="Calibri"/>
      <family val="2"/>
      <scheme val="minor"/>
    </font>
    <font>
      <sz val="11"/>
      <color theme="9"/>
      <name val="Calibri"/>
      <family val="2"/>
      <scheme val="minor"/>
    </font>
    <font>
      <sz val="11"/>
      <color theme="1"/>
      <name val="Calibri"/>
      <family val="2"/>
      <scheme val="minor"/>
    </font>
    <font>
      <sz val="11"/>
      <color theme="0"/>
      <name val="Calibri"/>
      <family val="2"/>
      <scheme val="minor"/>
    </font>
    <font>
      <sz val="8"/>
      <name val="Calibri"/>
      <family val="2"/>
      <scheme val="minor"/>
    </font>
    <font>
      <sz val="11"/>
      <color theme="7"/>
      <name val="Calibri"/>
      <family val="2"/>
      <scheme val="minor"/>
    </font>
    <font>
      <sz val="11"/>
      <color rgb="FFFFFF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bgColor indexed="64"/>
      </patternFill>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9" fillId="0" borderId="0" applyFont="0" applyFill="0" applyBorder="0" applyAlignment="0" applyProtection="0"/>
    <xf numFmtId="44" fontId="9" fillId="0" borderId="0" applyFont="0" applyFill="0" applyBorder="0" applyAlignment="0" applyProtection="0"/>
  </cellStyleXfs>
  <cellXfs count="42">
    <xf numFmtId="0" fontId="0" fillId="0" borderId="0" xfId="0"/>
    <xf numFmtId="0" fontId="0" fillId="2" borderId="0" xfId="0" applyFill="1"/>
    <xf numFmtId="0" fontId="0" fillId="3" borderId="0" xfId="0" applyFill="1"/>
    <xf numFmtId="2" fontId="0" fillId="0" borderId="0" xfId="0" applyNumberFormat="1"/>
    <xf numFmtId="0" fontId="0" fillId="0" borderId="0" xfId="0" applyFont="1"/>
    <xf numFmtId="0" fontId="0" fillId="0" borderId="0" xfId="0" applyFill="1"/>
    <xf numFmtId="0" fontId="2" fillId="0" borderId="0" xfId="0" applyFont="1" applyFill="1"/>
    <xf numFmtId="0" fontId="0" fillId="4" borderId="0" xfId="0" applyFont="1" applyFill="1"/>
    <xf numFmtId="0" fontId="0" fillId="0" borderId="0" xfId="0" applyFont="1" applyFill="1"/>
    <xf numFmtId="0" fontId="0" fillId="5" borderId="0" xfId="0" applyFill="1"/>
    <xf numFmtId="2" fontId="0" fillId="0" borderId="0" xfId="0" applyNumberFormat="1" applyFont="1" applyFill="1"/>
    <xf numFmtId="0" fontId="0" fillId="0" borderId="0" xfId="0" applyNumberFormat="1" applyFont="1" applyFill="1"/>
    <xf numFmtId="0" fontId="0" fillId="0" borderId="0" xfId="0" applyNumberFormat="1"/>
    <xf numFmtId="0" fontId="7" fillId="0" borderId="0" xfId="0" applyFont="1"/>
    <xf numFmtId="0" fontId="0" fillId="3" borderId="0" xfId="0" applyFont="1" applyFill="1"/>
    <xf numFmtId="0" fontId="2" fillId="0" borderId="0" xfId="0" applyFont="1"/>
    <xf numFmtId="0" fontId="0" fillId="4" borderId="0" xfId="0" applyFill="1"/>
    <xf numFmtId="0" fontId="1" fillId="3" borderId="0" xfId="0" applyFont="1" applyFill="1"/>
    <xf numFmtId="0" fontId="0" fillId="0" borderId="0" xfId="0" applyBorder="1"/>
    <xf numFmtId="0" fontId="0" fillId="0" borderId="0" xfId="0" applyFill="1" applyBorder="1"/>
    <xf numFmtId="0" fontId="0" fillId="6" borderId="0" xfId="0" applyFill="1"/>
    <xf numFmtId="0" fontId="2" fillId="3" borderId="0" xfId="0" applyFont="1" applyFill="1"/>
    <xf numFmtId="0" fontId="1" fillId="0" borderId="0" xfId="0" applyFont="1"/>
    <xf numFmtId="2" fontId="0" fillId="0" borderId="0" xfId="1" applyNumberFormat="1" applyFont="1" applyFill="1"/>
    <xf numFmtId="2" fontId="0" fillId="0" borderId="0" xfId="2" applyNumberFormat="1" applyFont="1" applyFill="1"/>
    <xf numFmtId="0" fontId="2" fillId="2" borderId="0" xfId="0" applyFont="1" applyFill="1"/>
    <xf numFmtId="0" fontId="2" fillId="4" borderId="0" xfId="0" applyFont="1" applyFill="1"/>
    <xf numFmtId="0" fontId="2" fillId="5" borderId="0" xfId="0" applyFont="1" applyFill="1"/>
    <xf numFmtId="8" fontId="0" fillId="0" borderId="0" xfId="0" applyNumberFormat="1"/>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NumberFormat="1" applyBorder="1"/>
    <xf numFmtId="0" fontId="0" fillId="0" borderId="0" xfId="0" pivotButton="1"/>
    <xf numFmtId="0" fontId="0" fillId="0" borderId="0" xfId="0" applyAlignment="1">
      <alignment horizontal="left"/>
    </xf>
    <xf numFmtId="0" fontId="10" fillId="5" borderId="0" xfId="0" applyFont="1" applyFill="1"/>
    <xf numFmtId="0" fontId="0" fillId="7" borderId="0" xfId="0" applyFill="1"/>
    <xf numFmtId="0" fontId="1" fillId="2" borderId="0" xfId="0" applyFont="1" applyFill="1"/>
    <xf numFmtId="0" fontId="1" fillId="0" borderId="0" xfId="0" applyFont="1" applyFill="1"/>
    <xf numFmtId="0" fontId="12" fillId="0" borderId="0" xfId="0" applyFont="1"/>
    <xf numFmtId="0" fontId="13" fillId="5" borderId="0" xfId="0" applyFont="1" applyFill="1"/>
    <xf numFmtId="0" fontId="1" fillId="8" borderId="0" xfId="0" applyFont="1" applyFill="1"/>
  </cellXfs>
  <cellStyles count="3">
    <cellStyle name="Milliers" xfId="1" builtinId="3"/>
    <cellStyle name="Monétaire" xfId="2" builtinId="4"/>
    <cellStyle name="Normal" xfId="0" builtinId="0"/>
  </cellStyles>
  <dxfs count="1">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[2.4 Terrier VM.xlsx]TCD mois!Tableau croisé dynamique9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Nombre de reconnaissances</a:t>
            </a:r>
            <a:r>
              <a:rPr lang="fr-FR" baseline="0"/>
              <a:t> par mois</a:t>
            </a:r>
            <a:endParaRPr lang="fr-F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'TCD mois'!$B$3</c:f>
              <c:strCache>
                <c:ptCount val="1"/>
                <c:pt idx="0">
                  <c:v>Total</c:v>
                </c:pt>
              </c:strCache>
            </c:strRef>
          </c:tx>
          <c:spPr>
            <a:solidFill>
              <a:schemeClr val="accent1"/>
            </a:solidFill>
            <a:ln>
              <a:noFill/>
            </a:ln>
            <a:effectLst/>
          </c:spPr>
          <c:invertIfNegative val="0"/>
          <c:cat>
            <c:strRef>
              <c:f>'TCD mois'!$A$4:$A$15</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'TCD mois'!$B$4:$B$15</c:f>
              <c:numCache>
                <c:formatCode>General</c:formatCode>
                <c:ptCount val="12"/>
                <c:pt idx="0">
                  <c:v>11</c:v>
                </c:pt>
                <c:pt idx="1">
                  <c:v>44</c:v>
                </c:pt>
                <c:pt idx="2">
                  <c:v>16</c:v>
                </c:pt>
                <c:pt idx="3">
                  <c:v>49</c:v>
                </c:pt>
                <c:pt idx="4">
                  <c:v>26</c:v>
                </c:pt>
                <c:pt idx="5">
                  <c:v>16</c:v>
                </c:pt>
                <c:pt idx="6">
                  <c:v>4</c:v>
                </c:pt>
                <c:pt idx="7">
                  <c:v>4</c:v>
                </c:pt>
                <c:pt idx="8">
                  <c:v>1</c:v>
                </c:pt>
                <c:pt idx="9">
                  <c:v>13</c:v>
                </c:pt>
                <c:pt idx="10">
                  <c:v>6</c:v>
                </c:pt>
                <c:pt idx="11">
                  <c:v>37</c:v>
                </c:pt>
              </c:numCache>
            </c:numRef>
          </c:val>
          <c:extLst>
            <c:ext xmlns:c16="http://schemas.microsoft.com/office/drawing/2014/chart" uri="{C3380CC4-5D6E-409C-BE32-E72D297353CC}">
              <c16:uniqueId val="{00000000-BC22-44E5-9904-1723574F5AE9}"/>
            </c:ext>
          </c:extLst>
        </c:ser>
        <c:dLbls>
          <c:showLegendKey val="0"/>
          <c:showVal val="0"/>
          <c:showCatName val="0"/>
          <c:showSerName val="0"/>
          <c:showPercent val="0"/>
          <c:showBubbleSize val="0"/>
        </c:dLbls>
        <c:gapWidth val="219"/>
        <c:overlap val="-27"/>
        <c:axId val="436355040"/>
        <c:axId val="436352416"/>
      </c:barChart>
      <c:catAx>
        <c:axId val="43635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36352416"/>
        <c:crosses val="autoZero"/>
        <c:auto val="1"/>
        <c:lblAlgn val="ctr"/>
        <c:lblOffset val="100"/>
        <c:noMultiLvlLbl val="0"/>
      </c:catAx>
      <c:valAx>
        <c:axId val="43635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36355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[2.4 Terrier VM.xlsx]Répartition de la population!Tableau croisé dynamique6</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Nombre</a:t>
            </a:r>
            <a:r>
              <a:rPr lang="en-US" baseline="0"/>
              <a:t> d'habitant par localité</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'Répartition de la population'!$B$1</c:f>
              <c:strCache>
                <c:ptCount val="1"/>
                <c:pt idx="0">
                  <c:v>Total</c:v>
                </c:pt>
              </c:strCache>
            </c:strRef>
          </c:tx>
          <c:spPr>
            <a:solidFill>
              <a:schemeClr val="accent1"/>
            </a:solidFill>
            <a:ln>
              <a:noFill/>
            </a:ln>
            <a:effectLst/>
          </c:spPr>
          <c:invertIfNegative val="0"/>
          <c:cat>
            <c:strRef>
              <c:f>'Répartition de la population'!$A$2:$A$77</c:f>
              <c:strCache>
                <c:ptCount val="75"/>
                <c:pt idx="0">
                  <c:v>Arcens</c:v>
                </c:pt>
                <c:pt idx="1">
                  <c:v>Avenas</c:v>
                </c:pt>
                <c:pt idx="2">
                  <c:v>Beal</c:v>
                </c:pt>
                <c:pt idx="3">
                  <c:v>Brusco</c:v>
                </c:pt>
                <c:pt idx="4">
                  <c:v>Chalma</c:v>
                </c:pt>
                <c:pt idx="5">
                  <c:v>Chalmariais</c:v>
                </c:pt>
                <c:pt idx="6">
                  <c:v>Chalmetis</c:v>
                </c:pt>
                <c:pt idx="7">
                  <c:v>Chalmetis de Sanna</c:v>
                </c:pt>
                <c:pt idx="8">
                  <c:v>Champanhac</c:v>
                </c:pt>
                <c:pt idx="9">
                  <c:v>Chanclausa</c:v>
                </c:pt>
                <c:pt idx="10">
                  <c:v>Chanils</c:v>
                </c:pt>
                <c:pt idx="11">
                  <c:v>Chantaloba</c:v>
                </c:pt>
                <c:pt idx="12">
                  <c:v>Chapons</c:v>
                </c:pt>
                <c:pt idx="13">
                  <c:v>Chaslario</c:v>
                </c:pt>
                <c:pt idx="14">
                  <c:v>Chaudaralis</c:v>
                </c:pt>
                <c:pt idx="15">
                  <c:v>Comba Sancta Gitatis</c:v>
                </c:pt>
                <c:pt idx="16">
                  <c:v>Croseto Minoris</c:v>
                </c:pt>
                <c:pt idx="17">
                  <c:v>Del Chastanheir de Jannac</c:v>
                </c:pt>
                <c:pt idx="18">
                  <c:v>Del Maset</c:v>
                </c:pt>
                <c:pt idx="19">
                  <c:v>Del Mundo Sancti Martini</c:v>
                </c:pt>
                <c:pt idx="20">
                  <c:v>Del Sape</c:v>
                </c:pt>
                <c:pt idx="21">
                  <c:v>Del Verne</c:v>
                </c:pt>
                <c:pt idx="22">
                  <c:v>Dens Forcus</c:v>
                </c:pt>
                <c:pt idx="23">
                  <c:v>Dens Tenanos</c:v>
                </c:pt>
                <c:pt idx="24">
                  <c:v>Devessetum</c:v>
                </c:pt>
                <c:pt idx="25">
                  <c:v>Feudo</c:v>
                </c:pt>
                <c:pt idx="26">
                  <c:v>Filatrama</c:v>
                </c:pt>
                <c:pt idx="27">
                  <c:v>Flossac</c:v>
                </c:pt>
                <c:pt idx="28">
                  <c:v>Fonte</c:v>
                </c:pt>
                <c:pt idx="29">
                  <c:v>Frigidis Perietibus</c:v>
                </c:pt>
                <c:pt idx="30">
                  <c:v>Furnis</c:v>
                </c:pt>
                <c:pt idx="31">
                  <c:v>Gorgoras</c:v>
                </c:pt>
                <c:pt idx="32">
                  <c:v>Hereone</c:v>
                </c:pt>
                <c:pt idx="33">
                  <c:v>La Boscha</c:v>
                </c:pt>
                <c:pt idx="34">
                  <c:v>La Brueyra</c:v>
                </c:pt>
                <c:pt idx="35">
                  <c:v>La Costa</c:v>
                </c:pt>
                <c:pt idx="36">
                  <c:v>La Rocha</c:v>
                </c:pt>
                <c:pt idx="37">
                  <c:v>La Valeta</c:v>
                </c:pt>
                <c:pt idx="38">
                  <c:v>La Valeta dens Clotz</c:v>
                </c:pt>
                <c:pt idx="39">
                  <c:v>La Valeta Raybrant</c:v>
                </c:pt>
                <c:pt idx="40">
                  <c:v>La Vileta</c:v>
                </c:pt>
                <c:pt idx="41">
                  <c:v>Lanarena</c:v>
                </c:pt>
                <c:pt idx="42">
                  <c:v>Las Ruschas</c:v>
                </c:pt>
                <c:pt idx="43">
                  <c:v>Lermet</c:v>
                </c:pt>
                <c:pt idx="44">
                  <c:v>Les Reymons</c:v>
                </c:pt>
                <c:pt idx="45">
                  <c:v>Liomas</c:v>
                </c:pt>
                <c:pt idx="46">
                  <c:v>Malagayta</c:v>
                </c:pt>
                <c:pt idx="47">
                  <c:v>Malavalle</c:v>
                </c:pt>
                <c:pt idx="48">
                  <c:v>Malgnines</c:v>
                </c:pt>
                <c:pt idx="49">
                  <c:v>Masalibrant</c:v>
                </c:pt>
                <c:pt idx="50">
                  <c:v>Mastortet</c:v>
                </c:pt>
                <c:pt idx="51">
                  <c:v>Montelhet</c:v>
                </c:pt>
                <c:pt idx="52">
                  <c:v>Montilio</c:v>
                </c:pt>
                <c:pt idx="53">
                  <c:v>Montreont</c:v>
                </c:pt>
                <c:pt idx="54">
                  <c:v>Mundo</c:v>
                </c:pt>
                <c:pt idx="55">
                  <c:v>Paulhac</c:v>
                </c:pt>
                <c:pt idx="56">
                  <c:v>Podio Brunent</c:v>
                </c:pt>
                <c:pt idx="57">
                  <c:v>Pontetz</c:v>
                </c:pt>
                <c:pt idx="58">
                  <c:v>Raschassac</c:v>
                </c:pt>
                <c:pt idx="59">
                  <c:v>Rilhac</c:v>
                </c:pt>
                <c:pt idx="60">
                  <c:v>Ruela</c:v>
                </c:pt>
                <c:pt idx="61">
                  <c:v>Ruotorto</c:v>
                </c:pt>
                <c:pt idx="62">
                  <c:v>Ruppe</c:v>
                </c:pt>
                <c:pt idx="63">
                  <c:v>Sancto Agrippavio</c:v>
                </c:pt>
                <c:pt idx="64">
                  <c:v>Sancto Juliano in Boteria</c:v>
                </c:pt>
                <c:pt idx="65">
                  <c:v>Sanna</c:v>
                </c:pt>
                <c:pt idx="66">
                  <c:v>Socheria</c:v>
                </c:pt>
                <c:pt idx="67">
                  <c:v>Unario</c:v>
                </c:pt>
                <c:pt idx="68">
                  <c:v>Vilario</c:v>
                </c:pt>
                <c:pt idx="69">
                  <c:v>Villa Longia</c:v>
                </c:pt>
                <c:pt idx="70">
                  <c:v>Villa Nova Devesseti</c:v>
                </c:pt>
                <c:pt idx="71">
                  <c:v>Villalonia</c:v>
                </c:pt>
                <c:pt idx="72">
                  <c:v>Viriderio</c:v>
                </c:pt>
                <c:pt idx="73">
                  <c:v>Vunha</c:v>
                </c:pt>
                <c:pt idx="74">
                  <c:v>(vide)</c:v>
                </c:pt>
              </c:strCache>
            </c:strRef>
          </c:cat>
          <c:val>
            <c:numRef>
              <c:f>'Répartition de la population'!$B$2:$B$77</c:f>
              <c:numCache>
                <c:formatCode>General</c:formatCode>
                <c:ptCount val="75"/>
                <c:pt idx="0">
                  <c:v>1</c:v>
                </c:pt>
                <c:pt idx="1">
                  <c:v>5</c:v>
                </c:pt>
                <c:pt idx="2">
                  <c:v>1</c:v>
                </c:pt>
                <c:pt idx="3">
                  <c:v>1</c:v>
                </c:pt>
                <c:pt idx="4">
                  <c:v>2</c:v>
                </c:pt>
                <c:pt idx="5">
                  <c:v>15</c:v>
                </c:pt>
                <c:pt idx="6">
                  <c:v>5</c:v>
                </c:pt>
                <c:pt idx="7">
                  <c:v>2</c:v>
                </c:pt>
                <c:pt idx="8">
                  <c:v>1</c:v>
                </c:pt>
                <c:pt idx="9">
                  <c:v>20</c:v>
                </c:pt>
                <c:pt idx="10">
                  <c:v>3</c:v>
                </c:pt>
                <c:pt idx="11">
                  <c:v>2</c:v>
                </c:pt>
                <c:pt idx="12">
                  <c:v>2</c:v>
                </c:pt>
                <c:pt idx="13">
                  <c:v>1</c:v>
                </c:pt>
                <c:pt idx="14">
                  <c:v>1</c:v>
                </c:pt>
                <c:pt idx="15">
                  <c:v>1</c:v>
                </c:pt>
                <c:pt idx="16">
                  <c:v>1</c:v>
                </c:pt>
                <c:pt idx="17">
                  <c:v>3</c:v>
                </c:pt>
                <c:pt idx="18">
                  <c:v>1</c:v>
                </c:pt>
                <c:pt idx="19">
                  <c:v>6</c:v>
                </c:pt>
                <c:pt idx="20">
                  <c:v>3</c:v>
                </c:pt>
                <c:pt idx="21">
                  <c:v>2</c:v>
                </c:pt>
                <c:pt idx="22">
                  <c:v>1</c:v>
                </c:pt>
                <c:pt idx="23">
                  <c:v>1</c:v>
                </c:pt>
                <c:pt idx="24">
                  <c:v>1</c:v>
                </c:pt>
                <c:pt idx="25">
                  <c:v>1</c:v>
                </c:pt>
                <c:pt idx="26">
                  <c:v>1</c:v>
                </c:pt>
                <c:pt idx="27">
                  <c:v>2</c:v>
                </c:pt>
                <c:pt idx="28">
                  <c:v>1</c:v>
                </c:pt>
                <c:pt idx="29">
                  <c:v>1</c:v>
                </c:pt>
                <c:pt idx="30">
                  <c:v>1</c:v>
                </c:pt>
                <c:pt idx="31">
                  <c:v>12</c:v>
                </c:pt>
                <c:pt idx="32">
                  <c:v>5</c:v>
                </c:pt>
                <c:pt idx="33">
                  <c:v>2</c:v>
                </c:pt>
                <c:pt idx="34">
                  <c:v>3</c:v>
                </c:pt>
                <c:pt idx="35">
                  <c:v>1</c:v>
                </c:pt>
                <c:pt idx="36">
                  <c:v>1</c:v>
                </c:pt>
                <c:pt idx="37">
                  <c:v>1</c:v>
                </c:pt>
                <c:pt idx="38">
                  <c:v>1</c:v>
                </c:pt>
                <c:pt idx="39">
                  <c:v>3</c:v>
                </c:pt>
                <c:pt idx="40">
                  <c:v>5</c:v>
                </c:pt>
                <c:pt idx="41">
                  <c:v>1</c:v>
                </c:pt>
                <c:pt idx="42">
                  <c:v>5</c:v>
                </c:pt>
                <c:pt idx="43">
                  <c:v>5</c:v>
                </c:pt>
                <c:pt idx="44">
                  <c:v>1</c:v>
                </c:pt>
                <c:pt idx="45">
                  <c:v>1</c:v>
                </c:pt>
                <c:pt idx="46">
                  <c:v>7</c:v>
                </c:pt>
                <c:pt idx="47">
                  <c:v>3</c:v>
                </c:pt>
                <c:pt idx="48">
                  <c:v>1</c:v>
                </c:pt>
                <c:pt idx="49">
                  <c:v>19</c:v>
                </c:pt>
                <c:pt idx="50">
                  <c:v>2</c:v>
                </c:pt>
                <c:pt idx="51">
                  <c:v>3</c:v>
                </c:pt>
                <c:pt idx="52">
                  <c:v>1</c:v>
                </c:pt>
                <c:pt idx="53">
                  <c:v>1</c:v>
                </c:pt>
                <c:pt idx="54">
                  <c:v>1</c:v>
                </c:pt>
                <c:pt idx="55">
                  <c:v>2</c:v>
                </c:pt>
                <c:pt idx="56">
                  <c:v>2</c:v>
                </c:pt>
                <c:pt idx="57">
                  <c:v>2</c:v>
                </c:pt>
                <c:pt idx="58">
                  <c:v>1</c:v>
                </c:pt>
                <c:pt idx="59">
                  <c:v>6</c:v>
                </c:pt>
                <c:pt idx="60">
                  <c:v>1</c:v>
                </c:pt>
                <c:pt idx="61">
                  <c:v>1</c:v>
                </c:pt>
                <c:pt idx="62">
                  <c:v>13</c:v>
                </c:pt>
                <c:pt idx="63">
                  <c:v>7</c:v>
                </c:pt>
                <c:pt idx="64">
                  <c:v>1</c:v>
                </c:pt>
                <c:pt idx="65">
                  <c:v>1</c:v>
                </c:pt>
                <c:pt idx="66">
                  <c:v>1</c:v>
                </c:pt>
                <c:pt idx="67">
                  <c:v>1</c:v>
                </c:pt>
                <c:pt idx="68">
                  <c:v>2</c:v>
                </c:pt>
                <c:pt idx="69">
                  <c:v>2</c:v>
                </c:pt>
                <c:pt idx="70">
                  <c:v>6</c:v>
                </c:pt>
                <c:pt idx="71">
                  <c:v>3</c:v>
                </c:pt>
                <c:pt idx="72">
                  <c:v>2</c:v>
                </c:pt>
                <c:pt idx="73">
                  <c:v>1</c:v>
                </c:pt>
              </c:numCache>
            </c:numRef>
          </c:val>
          <c:extLst>
            <c:ext xmlns:c16="http://schemas.microsoft.com/office/drawing/2014/chart" uri="{C3380CC4-5D6E-409C-BE32-E72D297353CC}">
              <c16:uniqueId val="{00000000-328E-4F4D-9FAF-A7A73BEFB0AB}"/>
            </c:ext>
          </c:extLst>
        </c:ser>
        <c:dLbls>
          <c:showLegendKey val="0"/>
          <c:showVal val="0"/>
          <c:showCatName val="0"/>
          <c:showSerName val="0"/>
          <c:showPercent val="0"/>
          <c:showBubbleSize val="0"/>
        </c:dLbls>
        <c:gapWidth val="182"/>
        <c:axId val="312826960"/>
        <c:axId val="312826304"/>
      </c:barChart>
      <c:catAx>
        <c:axId val="312826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12826304"/>
        <c:crosses val="autoZero"/>
        <c:auto val="1"/>
        <c:lblAlgn val="ctr"/>
        <c:lblOffset val="100"/>
        <c:noMultiLvlLbl val="0"/>
      </c:catAx>
      <c:valAx>
        <c:axId val="312826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12826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614361</xdr:colOff>
      <xdr:row>4</xdr:row>
      <xdr:rowOff>9524</xdr:rowOff>
    </xdr:from>
    <xdr:to>
      <xdr:col>10</xdr:col>
      <xdr:colOff>495300</xdr:colOff>
      <xdr:row>23</xdr:row>
      <xdr:rowOff>76200</xdr:rowOff>
    </xdr:to>
    <xdr:graphicFrame macro="">
      <xdr:nvGraphicFramePr>
        <xdr:cNvPr id="2" name="Graphique 1">
          <a:extLst>
            <a:ext uri="{FF2B5EF4-FFF2-40B4-BE49-F238E27FC236}">
              <a16:creationId xmlns:a16="http://schemas.microsoft.com/office/drawing/2014/main" id="{CB2D4BEF-AD2D-4375-8C71-FE0408E6B4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219075</xdr:colOff>
      <xdr:row>0</xdr:row>
      <xdr:rowOff>0</xdr:rowOff>
    </xdr:from>
    <xdr:to>
      <xdr:col>19</xdr:col>
      <xdr:colOff>142876</xdr:colOff>
      <xdr:row>61</xdr:row>
      <xdr:rowOff>28574</xdr:rowOff>
    </xdr:to>
    <xdr:graphicFrame macro="">
      <xdr:nvGraphicFramePr>
        <xdr:cNvPr id="5" name="Graphique 4">
          <a:extLst>
            <a:ext uri="{FF2B5EF4-FFF2-40B4-BE49-F238E27FC236}">
              <a16:creationId xmlns:a16="http://schemas.microsoft.com/office/drawing/2014/main" id="{6B95A423-B026-4D66-91DA-6A37E626C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Virgile" id="{C9D8C5C5-CEAC-4088-A866-23345759150B}" userId="Virgile" providerId="None"/>
  <person displayName="Corinne Marlé" id="{EF3831B1-8878-47B9-AE5A-3D4C4055CD6D}" userId="b56adf9c1be9a36e"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806.815611574071" createdVersion="6" refreshedVersion="6" minRefreshableVersion="3" recordCount="1100" xr:uid="{4BC87909-90D8-4021-906E-652EC71E05DB}">
  <cacheSource type="worksheet">
    <worksheetSource ref="A1:Q1048576" sheet="Détail sur Possessions"/>
  </cacheSource>
  <cacheFields count="17">
    <cacheField name="Code" numFmtId="0">
      <sharedItems containsString="0" containsBlank="1" containsNumber="1" containsInteger="1" minValue="142" maxValue="1921"/>
    </cacheField>
    <cacheField name="Prénom" numFmtId="0">
      <sharedItems containsBlank="1"/>
    </cacheField>
    <cacheField name="Lieu" numFmtId="0">
      <sharedItems containsBlank="1" count="93">
        <s v="Arcens"/>
        <s v="Avenas"/>
        <s v="Brusco"/>
        <s v="Chalma"/>
        <s v="Chalmariais"/>
        <s v="Chalmetas"/>
        <s v="Chalmetis de Sanna"/>
        <s v="Champanhac"/>
        <s v="Chanclausa"/>
        <s v="Chandeyrolas"/>
        <s v="Chanils"/>
        <s v="Chantaloba"/>
        <s v="Chapons"/>
        <s v="Chaslario"/>
        <s v="Chaudaralis"/>
        <s v="Comba Sancta Gitatis"/>
        <s v="Croseto Minoris"/>
        <s v="De Fonte"/>
        <s v="De Frigidis Perietibus"/>
        <s v="De Sancto Juliano in Boteria"/>
        <s v="Del Chastanheir de Jannac"/>
        <s v="Del Maset"/>
        <s v="Del Mundo Sancti Martini"/>
        <s v="Del Sape"/>
        <s v="Del Verne"/>
        <s v="Dens Forcus"/>
        <s v="Dens Tenanos"/>
        <s v="Devessetum"/>
        <s v="Fay"/>
        <s v="Feudo"/>
        <s v="Filatrama"/>
        <s v="Flossac"/>
        <s v="Furnis"/>
        <s v="Gorgoras"/>
        <s v="Hereone"/>
        <s v="La Bocha"/>
        <s v="La Brossa"/>
        <s v="La Brueyra"/>
        <s v="La Costa"/>
        <s v="La Rocha"/>
        <s v="La Valeta"/>
        <s v="La Valeta dens Clotz"/>
        <s v="La Valeta Raybrant"/>
        <s v="La Vileta"/>
        <s v="Lanarena"/>
        <s v="Las Ruschas"/>
        <s v="Las Sanhas"/>
        <s v="Lermet"/>
        <s v="Liomas"/>
        <s v="Lorene"/>
        <s v="Los Reymons"/>
        <s v="Malagayta"/>
        <s v="Malavalle"/>
        <s v="Malgnines"/>
        <s v="Masalibrant"/>
        <s v="Mastortet"/>
        <s v="Montelheto"/>
        <s v="Montilio"/>
        <s v="Montreont"/>
        <s v="Mundo"/>
        <s v="Paulhac"/>
        <s v="Planchetas"/>
        <s v="Pontetz"/>
        <s v="Posarot"/>
        <s v="Raschassaco"/>
        <s v="Rilhac"/>
        <s v="Ruela"/>
        <s v="Ruotorto"/>
        <s v="Ruppe"/>
        <s v="Sancto Agrippavio"/>
        <s v="Sanna"/>
        <s v="Socheria"/>
        <s v="Unario"/>
        <s v="Vilario"/>
        <s v="Villa Longia"/>
        <s v="Villa Nova Devesseti"/>
        <s v="Villalonia"/>
        <s v="Viriderio"/>
        <s v="Vunha"/>
        <m/>
        <s v="Del Chastanhier de Jannaco" u="1"/>
        <s v="De Hereone" u="1"/>
        <s v="Verneto" u="1"/>
        <s v="Malevalle" u="1"/>
        <s v="Sancto Agrippo" u="1"/>
        <s v="Montelhet" u="1"/>
        <s v="Chandaralis" u="1"/>
        <s v="Chalina" u="1"/>
        <s v="Chastanheno de Jannaco" u="1"/>
        <s v="Croseto" u="1"/>
        <s v="Ville Nove Devesseti" u="1"/>
        <s v="Sancto Agrippano" u="1"/>
        <s v="Chalmetis" u="1"/>
      </sharedItems>
    </cacheField>
    <cacheField name="Genre" numFmtId="0">
      <sharedItems containsBlank="1"/>
    </cacheField>
    <cacheField name="Année" numFmtId="0">
      <sharedItems containsString="0" containsBlank="1" containsNumber="1" containsInteger="1" minValue="1342" maxValue="1443"/>
    </cacheField>
    <cacheField name="Mois" numFmtId="0">
      <sharedItems containsBlank="1"/>
    </cacheField>
    <cacheField name="Jour" numFmtId="0">
      <sharedItems containsBlank="1" containsMixedTypes="1" containsNumber="1" containsInteger="1" minValue="1" maxValue="31"/>
    </cacheField>
    <cacheField name="Possession" numFmtId="0">
      <sharedItems containsBlank="1" count="219">
        <s v="Petiam terre"/>
        <s v="Domos"/>
        <s v="Ortum"/>
        <s v="Petiam"/>
        <s v="Pratum"/>
        <s v="Vineam"/>
        <s v="Possessiones"/>
        <s v="Domum"/>
        <s v="Terram"/>
        <s v="Tenementorium"/>
        <s v="Mansum"/>
        <s v="Calmam"/>
        <s v="Pasturalia"/>
        <s v="Grangiam"/>
        <s v="Domos, prata, orti, campi et nemora et alii terra"/>
        <s v="Pasturale"/>
        <s v="Ortum, campos, prata et pasturalia et nemora et alias possessiones"/>
        <s v="Costam"/>
        <s v="Balayam pasturali"/>
        <s v="Calme"/>
        <s v="Ortum, prata, compos, pasturalia, casalia, nemora et casamenta"/>
        <s v="Ortum, compos, prata, pascua, pasuralia et nemora et omnes alias terras et possessiones"/>
        <s v="Petias"/>
        <s v="Nemoris"/>
        <s v="Prata"/>
        <s v="Jus"/>
        <s v="Jus calme"/>
        <s v="Jus terre"/>
        <s v="Partem orti"/>
        <s v="Ortos"/>
        <s v="Partem calme"/>
        <s v="Partem sibi continuentem de calma"/>
        <s v="Partem terre communis"/>
        <s v="Nemus"/>
        <s v="Campum"/>
        <s v="Esclausam"/>
        <s v="Terminum"/>
        <s v="Prato paretas"/>
        <s v="Versanam"/>
        <s v="Partem suam omnium dest qua omnia"/>
        <s v="Garaitum"/>
        <s v="Lameytenchada"/>
        <s v="Masacgio"/>
        <s v="Territorii"/>
        <s v="Petia terre trium meytenchadarum"/>
        <s v="Tenementum"/>
        <s v="Unam seytoratam prati"/>
        <s v="Chastanherum"/>
        <s v="Locum"/>
        <s v="Terra cartinam"/>
        <s v="Levatam"/>
        <s v="Hospicium"/>
        <s v="Terras"/>
        <s v="Meitenchadam terre"/>
        <s v="Partem mansi"/>
        <s v="Medietatem petie terre"/>
        <s v="Medietate petie prati"/>
        <s v="Medietatem Faycie"/>
        <s v="Jus prati"/>
        <s v="Partem nemus"/>
        <s v="Bessetam"/>
        <s v="Partem prati"/>
        <s v="Partem nemoris"/>
        <s v="Assensamento"/>
        <s v="Pastayracgium"/>
        <s v="Percursum"/>
        <s v="Partem terre"/>
        <s v="Faciam terre"/>
        <s v="Ouchiam"/>
        <s v="Passatam"/>
        <s v="Pascua"/>
        <s v="Levatis aque"/>
        <s v="Partis pasturacgiorum"/>
        <s v="Casale"/>
        <s v="Orti, prata, compos, pascua et alia possessiones"/>
        <s v="Peda vinee"/>
        <s v="Partem suam"/>
        <s v="Amplius partem suam cuiusdam calme"/>
        <s v="Sanha"/>
        <s v="Ouchias"/>
        <s v="Grangias"/>
        <s v="Domos tenlanhas"/>
        <s v="Patile"/>
        <s v="Aygatam"/>
        <s v="Unius dimidiam Seytoratam Prati"/>
        <s v="Terrarii"/>
        <s v="Tertia partius totius tenementi "/>
        <s v="Medietatem teritorii"/>
        <s v="Medietatem loci"/>
        <s v="Terre costa"/>
        <s v="Domum Teulanha"/>
        <s v="Sanhatum"/>
        <s v="Petiam prati"/>
        <s v="Pessetam"/>
        <s v="Partem patilium"/>
        <s v="Partem pasturale"/>
        <s v="Partem pratorum"/>
        <s v="Partem pasturalium communum"/>
        <s v="Usum"/>
        <s v="Expleytium"/>
        <s v="Loci"/>
        <s v="Metarum"/>
        <s v="Prata, pasturalia, nemora et terras"/>
        <s v="Medietatem petiam"/>
        <s v="Medietatem terre"/>
        <s v="Medietatem nemoris"/>
        <s v="Partem patilium communum"/>
        <s v="Partem pastuorum communum"/>
        <s v="Partem territorii communis"/>
        <s v="Partem petie"/>
        <s v="Partem Dens Meses"/>
        <s v="Sessoirata vinee"/>
        <s v="Pars vinee"/>
        <s v="?"/>
        <s v="Ouchetam"/>
        <s v="Molendinum"/>
        <s v="Partem pastuum"/>
        <s v="Partem pasturalium"/>
        <s v="Partem petiam"/>
        <s v="Partes trium vinearum"/>
        <s v="Partem"/>
        <s v="Quintam partem nemoris"/>
        <s v="Partem nemore"/>
        <s v="Blacha"/>
        <s v="Medietatem prati"/>
        <s v="Medietatem petie"/>
        <s v="Petiam nemoris"/>
        <s v="Sextam partem petiem terre"/>
        <s v="Partem quam herit in facia de Ladreit de Serencha"/>
        <s v="Omnes res et possessiones ac proprietates "/>
        <s v="Partem [-]rii"/>
        <s v="Medietatem territorius"/>
        <s v="Quartam partem loci"/>
        <s v="Quartam partem territorii"/>
        <s v="Patile comuni"/>
        <s v="Creysementum"/>
        <s v="Partem coste"/>
        <s v="Creyscensa prati"/>
        <s v="Arboribus ibidem Cressentibus"/>
        <s v="Totum locum"/>
        <s v="Bessaam"/>
        <m/>
        <s v="Terre " u="1"/>
        <s v="Pratum " u="1"/>
        <s v="Possessionibus" u="1"/>
        <s v="Petiam terra" u="1"/>
        <s v="Prata et pasturalia" u="1"/>
        <s v="Patili sive deves" u="1"/>
        <s v="Manso" u="1"/>
        <s v="Partem patilius" u="1"/>
        <s v="Campo" u="1"/>
        <s v="Partem patilium comunum" u="1"/>
        <s v="Petie" u="1"/>
        <s v="Partem pastuum et pasturalium" u="1"/>
        <s v="Petia" u="1"/>
        <s v="Ouchia" u="1"/>
        <s v="Ortum sive pra" u="1"/>
        <s v="Nepioris" u="1"/>
        <s v="Quartam partem loci et territorii" u="1"/>
        <s v="Lanata" u="1"/>
        <s v="Domam" u="1"/>
        <s v="Leci" u="1"/>
        <s v="Medietatum prati" u="1"/>
        <s v="Pasturali" u="1"/>
        <s v="Pertursum et usum et expleytium" u="1"/>
        <s v="Nemore" u="1"/>
        <s v="Ortis" u="1"/>
        <s v="Houchiam" u="1"/>
        <s v="Partem patilia communum" u="1"/>
        <s v="Percusum" u="1"/>
        <s v="Ortum cum tere costa" u="1"/>
        <s v="1/2 loci et teritorii" u="1"/>
        <s v="Patile sive Pategne" u="1"/>
        <s v="Sossoirata vinee" u="1"/>
        <s v="Pasturalis" u="1"/>
        <s v="Terre petiam" u="1"/>
        <s v="Pasturalibus" u="1"/>
        <s v="Partem prati " u="1"/>
        <s v="Partem patilium et pastuorum communum" u="1"/>
        <s v="Locus" u="1"/>
        <s v="Houchas" u="1"/>
        <s v="Nemora" u="1"/>
        <s v="Pasturalei" u="1"/>
        <s v="1/3 totius tenementi " u="1"/>
        <s v="Terre petia " u="1"/>
        <s v="Sanhatz" u="1"/>
        <s v="Petia " u="1"/>
        <s v="Garaytum" u="1"/>
        <s v="Domus" u="1"/>
        <s v="Pratili comuni" u="1"/>
        <s v="Petias " u="1"/>
        <s v="Partem pasturali" u="1"/>
        <s v="Fayssam terre" u="1"/>
        <s v="Terre" u="1"/>
        <s v="Terra" u="1"/>
        <s v="Terris" u="1"/>
        <s v="Sana" u="1"/>
        <s v="Calmis" u="1"/>
        <s v="Partem petia" u="1"/>
        <s v="Molendinam" u="1"/>
        <s v="Territorii seu tenementi" u="1"/>
        <s v="Patile " u="1"/>
        <s v="Petia terre " u="1"/>
        <s v="Parte nemus" u="1"/>
        <s v="Parte calme" u="1"/>
        <s v="Petia terre" u="1"/>
        <s v="Petium" u="1"/>
        <s v="Pertem nemore" u="1"/>
        <s v="Prato" u="1"/>
        <s v="Aygatam sive pratum" u="1"/>
        <s v="Petiarum" u="1"/>
        <s v="Partem prati et terre" u="1"/>
        <s v="Nemus " u="1"/>
        <s v="Prati" u="1"/>
        <s v="Prata, pasturalia et terras" u="1"/>
        <s v="Ortam" u="1"/>
        <s v="Locum suum et tenementum" u="1"/>
        <s v="Sanhassium" u="1"/>
        <s v="Pratis" u="1"/>
      </sharedItems>
    </cacheField>
    <cacheField name="Nom" numFmtId="0">
      <sharedItems containsBlank="1"/>
    </cacheField>
    <cacheField name="Lieu2" numFmtId="0">
      <sharedItems containsBlank="1"/>
    </cacheField>
    <cacheField name="Confront 1" numFmtId="0">
      <sharedItems containsBlank="1"/>
    </cacheField>
    <cacheField name="Confront 2" numFmtId="0">
      <sharedItems containsBlank="1"/>
    </cacheField>
    <cacheField name="Confront 3" numFmtId="0">
      <sharedItems containsBlank="1"/>
    </cacheField>
    <cacheField name="Confront 4" numFmtId="0">
      <sharedItems containsBlank="1"/>
    </cacheField>
    <cacheField name="Confront 5" numFmtId="0">
      <sharedItems containsBlank="1"/>
    </cacheField>
    <cacheField name="Confront 6" numFmtId="0">
      <sharedItems containsBlank="1"/>
    </cacheField>
    <cacheField name="Supplémen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806.832790162036" createdVersion="6" refreshedVersion="6" minRefreshableVersion="3" recordCount="231" xr:uid="{398DE604-F0AE-4430-AB4A-281F19D8FA82}">
  <cacheSource type="worksheet">
    <worksheetSource ref="A1:DJ1048576" sheet="Terrier"/>
  </cacheSource>
  <cacheFields count="111">
    <cacheField name="Code" numFmtId="0">
      <sharedItems containsString="0" containsBlank="1" containsNumber="1" containsInteger="1" minValue="142" maxValue="1873"/>
    </cacheField>
    <cacheField name="Indication sur page" numFmtId="0">
      <sharedItems containsBlank="1"/>
    </cacheField>
    <cacheField name="Prénom" numFmtId="0">
      <sharedItems containsBlank="1"/>
    </cacheField>
    <cacheField name="Nom" numFmtId="0">
      <sharedItems containsBlank="1"/>
    </cacheField>
    <cacheField name="Localité" numFmtId="0">
      <sharedItems containsBlank="1" count="89">
        <s v="Arcens"/>
        <s v="Avenas"/>
        <s v="Brusco"/>
        <s v="Chalma"/>
        <s v="Chalmariais"/>
        <s v="Chalmetis"/>
        <s v="Chalmetis de Sanna"/>
        <s v="Champanhac"/>
        <s v="Chanclausa"/>
        <s v="Chanils"/>
        <s v="Chantaloba"/>
        <s v="Chapons"/>
        <s v="Chaslario"/>
        <s v="Chaudaralis"/>
        <s v="Comba Sancta Gitatis"/>
        <s v="Croseto Minoris"/>
        <s v="Del Chastanheir de Jannac"/>
        <s v="Del Maset"/>
        <s v="Mastortet"/>
        <s v="Del Mundo Sancti Martini"/>
        <s v="Del Sape"/>
        <s v="Del Verne"/>
        <s v="Dens Forcus"/>
        <s v="Dens Tenanos"/>
        <s v="Devessetum"/>
        <s v="Feudo"/>
        <s v="Filatrama"/>
        <s v="Flossac"/>
        <s v="Fonte"/>
        <s v="Frigidis Perietibus"/>
        <s v="Furnis"/>
        <s v="Gorgoras"/>
        <s v="Hereone"/>
        <s v="La Boscha"/>
        <s v="La Brossa"/>
        <s v="La Brueyra"/>
        <s v="La Costa"/>
        <s v="La Rocha"/>
        <s v="La Valeta"/>
        <s v="La Valeta dens Clotz"/>
        <s v="La Valeta Raybrant"/>
        <s v="La Vileta"/>
        <s v="Lanarena"/>
        <s v="Las Ruschas"/>
        <s v="Lermet"/>
        <s v="Les Reymons"/>
        <s v="Liomas"/>
        <s v="Malagayta"/>
        <s v="Malavalle"/>
        <s v="Malgnines"/>
        <s v="Masalibrant"/>
        <s v="Mundo"/>
        <s v="Montelhet"/>
        <s v="Montilio"/>
        <s v="Montreont"/>
        <s v="Paulhac"/>
        <s v="Podio Brunent"/>
        <s v="Pontetz"/>
        <s v="Raschassac"/>
        <s v="Rilhac"/>
        <s v="Ruela"/>
        <s v="Ruotorto"/>
        <s v="Ruppe"/>
        <s v="Villa Nova Devesseti"/>
        <s v="Sancto Agrippavio"/>
        <s v="Sancto Juliano in Boteria"/>
        <s v="Sanna"/>
        <s v="Socheria"/>
        <s v="Unario"/>
        <s v="Vilario"/>
        <s v="Villa Longia"/>
        <s v="Villalonia"/>
        <s v="Viriderio"/>
        <s v="Vunha"/>
        <m/>
        <s v="Chandaralis" u="1"/>
        <s v="Mendigolas" u="1"/>
        <s v="Malevalle" u="1"/>
        <s v="Sancto Agrippano" u="1"/>
        <s v="Del Chastanhier de Jannaco" u="1"/>
        <s v="Montelheto" u="1"/>
        <s v="Sancto Agrippo" u="1"/>
        <s v="Del Mastortet" u="1"/>
        <s v="Chalmetas" u="1"/>
        <s v="Croseto" u="1"/>
        <s v="De Sancto Juliano in Boteria" u="1"/>
        <s v="Chantilhac" u="1"/>
        <s v="Chalina" u="1"/>
        <s v="La Prossa" u="1"/>
      </sharedItems>
    </cacheField>
    <cacheField name="Origine" numFmtId="0">
      <sharedItems containsBlank="1"/>
    </cacheField>
    <cacheField name="Informations familiales" numFmtId="0">
      <sharedItems containsBlank="1"/>
    </cacheField>
    <cacheField name="Nomine" numFmtId="0">
      <sharedItems containsBlank="1" longText="1"/>
    </cacheField>
    <cacheField name="Genre" numFmtId="0">
      <sharedItems containsBlank="1"/>
    </cacheField>
    <cacheField name="Anné" numFmtId="0">
      <sharedItems containsString="0" containsBlank="1" containsNumber="1" containsInteger="1" minValue="1342" maxValue="1346"/>
    </cacheField>
    <cacheField name="Mois" numFmtId="0">
      <sharedItems containsBlank="1"/>
    </cacheField>
    <cacheField name="Jour" numFmtId="0">
      <sharedItems containsBlank="1" containsMixedTypes="1" containsNumber="1" containsInteger="1" minValue="1" maxValue="31"/>
    </cacheField>
    <cacheField name="Commandeur (italique = non dit)" numFmtId="0">
      <sharedItems containsBlank="1"/>
    </cacheField>
    <cacheField name="Statut" numFmtId="0">
      <sharedItems containsBlank="1"/>
    </cacheField>
    <cacheField name="Implication statut" numFmtId="0">
      <sharedItems containsBlank="1" count="6">
        <m/>
        <s v="Talhabilis ad omnimodas voluntatis"/>
        <s v="Talhabilis et expletabilis ad omnimodas voluntatis"/>
        <s v="Talhabiles"/>
        <s v="Talhabilis et expletabilis"/>
        <s v="Talhabilas"/>
      </sharedItems>
    </cacheField>
    <cacheField name="Venire ad comi et critu castri Devessti cum armis" numFmtId="0">
      <sharedItems containsBlank="1"/>
    </cacheField>
    <cacheField name="Manobrias" numFmtId="0">
      <sharedItems containsBlank="1"/>
    </cacheField>
    <cacheField name="Jornalia" numFmtId="0">
      <sharedItems containsBlank="1"/>
    </cacheField>
    <cacheField name="Chareis" numFmtId="0">
      <sharedItems containsBlank="1"/>
    </cacheField>
    <cacheField name="Espleyt" numFmtId="0">
      <sharedItems containsBlank="1"/>
    </cacheField>
    <cacheField name="Complément sur Corvées" numFmtId="0">
      <sharedItems containsBlank="1"/>
    </cacheField>
    <cacheField name="Statut terre" numFmtId="0">
      <sharedItems containsBlank="1"/>
    </cacheField>
    <cacheField name="Domus" numFmtId="0">
      <sharedItems containsBlank="1" containsMixedTypes="1" containsNumber="1" containsInteger="1" minValue="1" maxValue="2" count="5">
        <s v="Non"/>
        <n v="2"/>
        <s v="Oui"/>
        <n v="1"/>
        <m/>
      </sharedItems>
    </cacheField>
    <cacheField name="Orti" numFmtId="0">
      <sharedItems containsBlank="1" containsMixedTypes="1" containsNumber="1" containsInteger="1" minValue="1" maxValue="4" count="7">
        <s v="Non"/>
        <n v="2"/>
        <s v="Oui"/>
        <n v="3"/>
        <n v="1"/>
        <m/>
        <n v="4"/>
      </sharedItems>
    </cacheField>
    <cacheField name="Prata" numFmtId="0">
      <sharedItems containsBlank="1" containsMixedTypes="1" containsNumber="1" minValue="0.5" maxValue="6" count="12">
        <s v="Non"/>
        <n v="1"/>
        <s v="Oui"/>
        <m/>
        <n v="2"/>
        <n v="3"/>
        <n v="4"/>
        <n v="5"/>
        <n v="6"/>
        <s v="1 Seytorata prati"/>
        <n v="0.5"/>
        <n v="3.5"/>
      </sharedItems>
    </cacheField>
    <cacheField name="Compos" numFmtId="0">
      <sharedItems containsBlank="1" containsMixedTypes="1" containsNumber="1" containsInteger="1" minValue="1" maxValue="1" count="4">
        <s v="Non"/>
        <s v="Oui"/>
        <m/>
        <n v="1"/>
      </sharedItems>
    </cacheField>
    <cacheField name="Nemora" numFmtId="0">
      <sharedItems containsBlank="1" containsMixedTypes="1" containsNumber="1" minValue="0.2" maxValue="3" count="8">
        <s v="Non"/>
        <s v="Oui"/>
        <m/>
        <n v="1"/>
        <n v="2"/>
        <n v="0.5"/>
        <n v="0.2"/>
        <n v="3"/>
      </sharedItems>
    </cacheField>
    <cacheField name="Pascua" numFmtId="0">
      <sharedItems containsBlank="1" containsMixedTypes="1" containsNumber="1" containsInteger="1" minValue="1" maxValue="1" count="4">
        <s v="Non"/>
        <s v="Oui"/>
        <m/>
        <n v="1"/>
      </sharedItems>
    </cacheField>
    <cacheField name="Pasturalia" numFmtId="0">
      <sharedItems containsBlank="1" containsMixedTypes="1" containsNumber="1" containsInteger="1" minValue="1" maxValue="2" count="6">
        <s v="Non"/>
        <s v="Oui"/>
        <m/>
        <s v="Bayalam pasturali"/>
        <n v="1"/>
        <n v="2"/>
      </sharedItems>
    </cacheField>
    <cacheField name="Terrae" numFmtId="0">
      <sharedItems containsBlank="1" containsMixedTypes="1" containsNumber="1" minValue="0.5" maxValue="9.1666666666666661" count="10">
        <n v="1"/>
        <s v="Non"/>
        <n v="5"/>
        <m/>
        <s v="Oui"/>
        <n v="2"/>
        <n v="7"/>
        <n v="0.5"/>
        <n v="3"/>
        <n v="9.1666666666666661"/>
      </sharedItems>
    </cacheField>
    <cacheField name="Casalia" numFmtId="0">
      <sharedItems containsBlank="1" containsMixedTypes="1" containsNumber="1" containsInteger="1" minValue="1" maxValue="1" count="4">
        <s v="Non"/>
        <s v="Oui"/>
        <m/>
        <n v="1"/>
      </sharedItems>
    </cacheField>
    <cacheField name="Casamenta" numFmtId="0">
      <sharedItems containsBlank="1" count="3">
        <s v="Non"/>
        <s v="Oui"/>
        <m/>
      </sharedItems>
    </cacheField>
    <cacheField name="Grangiae" numFmtId="0">
      <sharedItems containsBlank="1" containsMixedTypes="1" containsNumber="1" containsInteger="1" minValue="1" maxValue="1" count="4">
        <s v="Non"/>
        <n v="1"/>
        <m/>
        <s v="Oui"/>
      </sharedItems>
    </cacheField>
    <cacheField name="Denesia" numFmtId="0">
      <sharedItems containsBlank="1"/>
    </cacheField>
    <cacheField name="Calma" numFmtId="0">
      <sharedItems containsBlank="1" containsMixedTypes="1" containsNumber="1" containsInteger="1" minValue="1" maxValue="1" count="5">
        <s v="Non"/>
        <n v="1"/>
        <m/>
        <s v="Oui"/>
        <s v="Une partie"/>
      </sharedItems>
    </cacheField>
    <cacheField name="Assensa" numFmtId="0">
      <sharedItems containsBlank="1" containsMixedTypes="1" containsNumber="1" containsInteger="1" minValue="1" maxValue="1" count="4">
        <s v="Non"/>
        <m/>
        <s v="Oui"/>
        <n v="1"/>
      </sharedItems>
    </cacheField>
    <cacheField name="Molendinus" numFmtId="0">
      <sharedItems containsBlank="1" containsMixedTypes="1" containsNumber="1" containsInteger="1" minValue="1" maxValue="1" count="4">
        <s v="Non"/>
        <m/>
        <s v="Oui"/>
        <n v="1"/>
      </sharedItems>
    </cacheField>
    <cacheField name="Ouchias" numFmtId="0">
      <sharedItems containsBlank="1" containsMixedTypes="1" containsNumber="1" containsInteger="1" minValue="1" maxValue="2" count="5">
        <s v="Non"/>
        <m/>
        <s v="Oui"/>
        <n v="1"/>
        <n v="2"/>
      </sharedItems>
    </cacheField>
    <cacheField name="Garaitum" numFmtId="0">
      <sharedItems containsBlank="1" containsMixedTypes="1" containsNumber="1" containsInteger="1" minValue="1" maxValue="3" count="5">
        <s v="Non"/>
        <m/>
        <n v="1"/>
        <n v="2"/>
        <n v="3"/>
      </sharedItems>
    </cacheField>
    <cacheField name="Patile" numFmtId="0">
      <sharedItems containsBlank="1" count="3">
        <s v="Non"/>
        <m/>
        <s v="Oui"/>
      </sharedItems>
    </cacheField>
    <cacheField name="Hospicii" numFmtId="0">
      <sharedItems containsBlank="1" containsMixedTypes="1" containsNumber="1" containsInteger="1" minValue="1" maxValue="1" count="3">
        <s v="Non"/>
        <m/>
        <n v="1"/>
      </sharedItems>
    </cacheField>
    <cacheField name="Petiae" numFmtId="0">
      <sharedItems containsBlank="1" containsMixedTypes="1" containsNumber="1" minValue="0.5" maxValue="15" count="15">
        <s v="Non"/>
        <n v="3"/>
        <n v="1"/>
        <m/>
        <s v="Oui"/>
        <n v="5"/>
        <n v="2"/>
        <n v="9"/>
        <n v="15"/>
        <n v="11"/>
        <n v="8"/>
        <n v="4"/>
        <n v="6"/>
        <n v="12"/>
        <n v="0.5"/>
      </sharedItems>
    </cacheField>
    <cacheField name="Esclausae" numFmtId="0">
      <sharedItems containsBlank="1" containsMixedTypes="1" containsNumber="1" containsInteger="1" minValue="1" maxValue="1" count="3">
        <s v="Non"/>
        <m/>
        <n v="1"/>
      </sharedItems>
    </cacheField>
    <cacheField name="Terminus" numFmtId="0">
      <sharedItems containsBlank="1" containsMixedTypes="1" containsNumber="1" containsInteger="1" minValue="1" maxValue="1" count="3">
        <s v="Non"/>
        <m/>
        <n v="1"/>
      </sharedItems>
    </cacheField>
    <cacheField name="Costam" numFmtId="0">
      <sharedItems containsBlank="1" containsMixedTypes="1" containsNumber="1" containsInteger="1" minValue="1" maxValue="1" count="4">
        <s v="Non"/>
        <m/>
        <n v="1"/>
        <s v="Oui"/>
      </sharedItems>
    </cacheField>
    <cacheField name="Sana" numFmtId="0">
      <sharedItems containsBlank="1" containsMixedTypes="1" containsNumber="1" containsInteger="1" minValue="1" maxValue="1" count="3">
        <s v="Non"/>
        <m/>
        <n v="1"/>
      </sharedItems>
    </cacheField>
    <cacheField name="Tenementum" numFmtId="0">
      <sharedItems containsBlank="1" containsMixedTypes="1" containsNumber="1" containsInteger="1" minValue="1" maxValue="2" count="5">
        <s v="Non"/>
        <s v="Oui"/>
        <m/>
        <n v="1"/>
        <n v="2"/>
      </sharedItems>
    </cacheField>
    <cacheField name="Versana" numFmtId="0">
      <sharedItems containsBlank="1" containsMixedTypes="1" containsNumber="1" containsInteger="1" minValue="3" maxValue="3" count="4">
        <s v="Non"/>
        <m/>
        <s v="Oui"/>
        <n v="3"/>
      </sharedItems>
    </cacheField>
    <cacheField name="Masacgio" numFmtId="0">
      <sharedItems containsBlank="1" containsMixedTypes="1" containsNumber="1" containsInteger="1" minValue="1" maxValue="1" count="3">
        <s v="Non"/>
        <m/>
        <n v="1"/>
      </sharedItems>
    </cacheField>
    <cacheField name="Vineae" numFmtId="0">
      <sharedItems containsBlank="1" containsMixedTypes="1" containsNumber="1" containsInteger="1" minValue="1" maxValue="2" count="5">
        <s v="Non"/>
        <n v="2"/>
        <s v="Oui"/>
        <m/>
        <n v="1"/>
      </sharedItems>
    </cacheField>
    <cacheField name="Blachia" numFmtId="0">
      <sharedItems containsBlank="1" containsMixedTypes="1" containsNumber="1" containsInteger="1" minValue="1" maxValue="1" count="3">
        <s v="Non"/>
        <m/>
        <n v="1"/>
      </sharedItems>
    </cacheField>
    <cacheField name="Arbores" numFmtId="0">
      <sharedItems containsBlank="1" count="3">
        <s v="Non"/>
        <m/>
        <s v="Oui"/>
      </sharedItems>
    </cacheField>
    <cacheField name="Passetae" numFmtId="0">
      <sharedItems containsBlank="1" containsMixedTypes="1" containsNumber="1" containsInteger="1" minValue="1" maxValue="1" count="4">
        <s v="Non"/>
        <m/>
        <n v="1"/>
        <s v="Oui"/>
      </sharedItems>
    </cacheField>
    <cacheField name="Chastanerii" numFmtId="0">
      <sharedItems containsBlank="1" containsMixedTypes="1" containsNumber="1" containsInteger="1" minValue="1" maxValue="1" count="3">
        <s v="Non"/>
        <m/>
        <n v="1"/>
      </sharedItems>
    </cacheField>
    <cacheField name="Dens Meses" numFmtId="0">
      <sharedItems containsBlank="1" count="3">
        <s v="Non"/>
        <m/>
        <s v="Oui"/>
      </sharedItems>
    </cacheField>
    <cacheField name="Levata" numFmtId="0">
      <sharedItems containsBlank="1" containsMixedTypes="1" containsNumber="1" containsInteger="1" minValue="1" maxValue="2" count="5">
        <s v="Non"/>
        <m/>
        <s v="Oui"/>
        <n v="2"/>
        <n v="1"/>
      </sharedItems>
    </cacheField>
    <cacheField name="Creysementum" numFmtId="0">
      <sharedItems containsBlank="1" containsMixedTypes="1" containsNumber="1" containsInteger="1" minValue="1" maxValue="1" count="3">
        <s v="Non"/>
        <m/>
        <n v="1"/>
      </sharedItems>
    </cacheField>
    <cacheField name="Bessaa" numFmtId="0">
      <sharedItems containsBlank="1" containsMixedTypes="1" containsNumber="1" containsInteger="1" minValue="1" maxValue="1" count="3">
        <s v="Non"/>
        <m/>
        <n v="1"/>
      </sharedItems>
    </cacheField>
    <cacheField name="Besseta" numFmtId="0">
      <sharedItems containsBlank="1" containsMixedTypes="1" containsNumber="1" containsInteger="1" minValue="1" maxValue="1" count="3">
        <s v="Non"/>
        <m/>
        <n v="1"/>
      </sharedItems>
    </cacheField>
    <cacheField name="Lameytenchada" numFmtId="0">
      <sharedItems containsBlank="1" containsMixedTypes="1" containsNumber="1" containsInteger="1" minValue="1" maxValue="1" count="3">
        <s v="Non"/>
        <m/>
        <n v="1"/>
      </sharedItems>
    </cacheField>
    <cacheField name="Bealis" numFmtId="0">
      <sharedItems containsBlank="1" count="3">
        <s v="Non"/>
        <m/>
        <s v="Oui"/>
      </sharedItems>
    </cacheField>
    <cacheField name="Mansum" numFmtId="0">
      <sharedItems containsBlank="1" containsMixedTypes="1" containsNumber="1" containsInteger="1" minValue="1" maxValue="1" count="3">
        <s v="Non"/>
        <n v="1"/>
        <m/>
      </sharedItems>
    </cacheField>
    <cacheField name="Sanhassium" numFmtId="0">
      <sharedItems containsBlank="1" containsMixedTypes="1" containsNumber="1" containsInteger="1" minValue="1" maxValue="1" count="3">
        <s v="Non"/>
        <m/>
        <n v="1"/>
      </sharedItems>
    </cacheField>
    <cacheField name="Autres possessions" numFmtId="0">
      <sharedItems containsBlank="1" count="3">
        <s v="Non"/>
        <s v="Oui"/>
        <m/>
      </sharedItems>
    </cacheField>
    <cacheField name="Collonne Fourzitout" numFmtId="0">
      <sharedItems containsBlank="1"/>
    </cacheField>
    <cacheField name="Incluzo (voir détails sur possessions)" numFmtId="0">
      <sharedItems containsBlank="1"/>
    </cacheField>
    <cacheField name="Lieux terres" numFmtId="0">
      <sharedItems containsBlank="1"/>
    </cacheField>
    <cacheField name="Représente" numFmtId="0">
      <sharedItems containsBlank="1"/>
    </cacheField>
    <cacheField name="Mesure de céréale utilisée" numFmtId="0">
      <sharedItems containsBlank="1"/>
    </cacheField>
    <cacheField name="Cens en poule" numFmtId="0">
      <sharedItems containsString="0" containsBlank="1" containsNumber="1" minValue="0" maxValue="81.43154761904762"/>
    </cacheField>
    <cacheField name="Cens en coq" numFmtId="0">
      <sharedItems containsString="0" containsBlank="1" containsNumber="1" minValue="0" maxValue="2"/>
    </cacheField>
    <cacheField name="Cens en froment (en Meytencus, Mesure de Tence)" numFmtId="0">
      <sharedItems containsString="0" containsBlank="1" containsNumber="1" containsInteger="1" minValue="0" maxValue="1"/>
    </cacheField>
    <cacheField name="Cens en froment (en cartalis)" numFmtId="0">
      <sharedItems containsString="0" containsBlank="1" containsNumber="1" containsInteger="1" minValue="0" maxValue="1"/>
    </cacheField>
    <cacheField name="Cens en seigle (en setier)" numFmtId="0">
      <sharedItems containsString="0" containsBlank="1" containsNumber="1" containsInteger="1" minValue="0" maxValue="8"/>
    </cacheField>
    <cacheField name="Cens en seigle (emine, = 1/2 setier)" numFmtId="0">
      <sharedItems containsString="0" containsBlank="1" containsNumber="1" containsInteger="1" minValue="0" maxValue="1"/>
    </cacheField>
    <cacheField name="Cense en seigle (en Meytencus, Mesure de Tence)" numFmtId="0">
      <sharedItems containsString="0" containsBlank="1" containsNumber="1" minValue="0" maxValue="24.5"/>
    </cacheField>
    <cacheField name="Cens en seigle (en cartayronis)" numFmtId="0">
      <sharedItems containsString="0" containsBlank="1" containsNumber="1" minValue="-1" maxValue="9"/>
    </cacheField>
    <cacheField name="cens en seigle (en cartalis)" numFmtId="0">
      <sharedItems containsString="0" containsBlank="1" containsNumber="1" containsInteger="1" minValue="0" maxValue="2"/>
    </cacheField>
    <cacheField name="Cens en seigle (en carteria)" numFmtId="0">
      <sharedItems containsString="0" containsBlank="1" containsNumber="1" minValue="0" maxValue="2"/>
    </cacheField>
    <cacheField name="Cens en seigle (en carta)" numFmtId="0">
      <sharedItems containsString="0" containsBlank="1" containsNumber="1" containsInteger="1" minValue="0" maxValue="12"/>
    </cacheField>
    <cacheField name="Cens en avoine (en setier)" numFmtId="0">
      <sharedItems containsString="0" containsBlank="1" containsNumber="1" containsInteger="1" minValue="0" maxValue="4"/>
    </cacheField>
    <cacheField name="Cens en avoine (emine, =1/2 setier)" numFmtId="0">
      <sharedItems containsString="0" containsBlank="1" containsNumber="1" containsInteger="1" minValue="0" maxValue="1"/>
    </cacheField>
    <cacheField name="Cens en avoine (en Meytencus, Mesure de Tence)" numFmtId="0">
      <sharedItems containsString="0" containsBlank="1" containsNumber="1" minValue="0" maxValue="20"/>
    </cacheField>
    <cacheField name="Cens en avoine (en cartayronis)" numFmtId="0">
      <sharedItems containsString="0" containsBlank="1" containsNumber="1" minValue="0" maxValue="9"/>
    </cacheField>
    <cacheField name="Cens en avoine (en cartalis)" numFmtId="0">
      <sharedItems containsString="0" containsBlank="1" containsNumber="1" containsInteger="1" minValue="0" maxValue="3"/>
    </cacheField>
    <cacheField name="Cens en avoine (en carte)" numFmtId="0">
      <sharedItems containsString="0" containsBlank="1" containsNumber="1" containsInteger="1" minValue="0" maxValue="1"/>
    </cacheField>
    <cacheField name="Cens en avoine (en carteria)" numFmtId="0">
      <sharedItems containsString="0" containsBlank="1" containsNumber="1" minValue="-0.5" maxValue="5.2"/>
    </cacheField>
    <cacheField name="Cens en avoine (en ras)" numFmtId="0">
      <sharedItems containsString="0" containsBlank="1" containsNumber="1" minValue="0" maxValue="1"/>
    </cacheField>
    <cacheField name="Cens en Meytencus conble de nodus" numFmtId="0">
      <sharedItems containsString="0" containsBlank="1" containsNumber="1" containsInteger="1" minValue="0" maxValue="1"/>
    </cacheField>
    <cacheField name="Cens en castanearium (carteria)" numFmtId="0">
      <sharedItems containsString="0" containsBlank="1" containsNumber="1" containsInteger="1" minValue="0" maxValue="6"/>
    </cacheField>
    <cacheField name="Cens en uncleorum (carta)" numFmtId="0">
      <sharedItems containsString="0" containsBlank="1" containsNumber="1" containsInteger="1" minValue="0" maxValue="1"/>
    </cacheField>
    <cacheField name="Cens en Tonem (vêtement)" numFmtId="0">
      <sharedItems containsString="0" containsBlank="1" containsNumber="1" containsInteger="1" minValue="0" maxValue="1"/>
    </cacheField>
    <cacheField name="Potne" numFmtId="0">
      <sharedItems containsString="0" containsBlank="1" containsNumber="1" minValue="0" maxValue="0.5"/>
    </cacheField>
    <cacheField name="Dont (voir détails sur redevances)" numFmtId="0">
      <sharedItems containsBlank="1"/>
    </cacheField>
    <cacheField name="Monaie (sous)" numFmtId="0">
      <sharedItems containsString="0" containsBlank="1" containsNumber="1" minValue="0" maxValue="46.333333333333336"/>
    </cacheField>
    <cacheField name="Monaie (obole)" numFmtId="0">
      <sharedItems containsBlank="1" containsMixedTypes="1" containsNumber="1" minValue="-1" maxValue="3"/>
    </cacheField>
    <cacheField name="Monaie (pogesa)" numFmtId="0">
      <sharedItems containsString="0" containsBlank="1" containsNumber="1" minValue="0" maxValue="4"/>
    </cacheField>
    <cacheField name="Picta" numFmtId="0">
      <sharedItems containsString="0" containsBlank="1" containsNumber="1" minValue="-1" maxValue="3.75"/>
    </cacheField>
    <cacheField name="Sous Viennois" numFmtId="0">
      <sharedItems containsString="0" containsBlank="1" containsNumber="1" minValue="0" maxValue="0.58333333333333337"/>
    </cacheField>
    <cacheField name="Pour" numFmtId="0">
      <sharedItems containsBlank="1"/>
    </cacheField>
    <cacheField name="Jour paiement" numFmtId="0">
      <sharedItems containsBlank="1"/>
    </cacheField>
    <cacheField name="Type de Juridiction" numFmtId="0">
      <sharedItems containsBlank="1"/>
    </cacheField>
    <cacheField name="Castrum / Mandement" numFmtId="0">
      <sharedItems containsBlank="1"/>
    </cacheField>
    <cacheField name="Fait à" numFmtId="0">
      <sharedItems containsBlank="1"/>
    </cacheField>
    <cacheField name="Notaire public royal + notaire de la maison de Devesset (page 52)" numFmtId="0">
      <sharedItems containsBlank="1"/>
    </cacheField>
    <cacheField name="Témoin 1" numFmtId="0">
      <sharedItems containsBlank="1"/>
    </cacheField>
    <cacheField name="Témoin 2" numFmtId="0">
      <sharedItems containsBlank="1"/>
    </cacheField>
    <cacheField name="Témoin 3" numFmtId="0">
      <sharedItems containsBlank="1"/>
    </cacheField>
    <cacheField name="Témoin 4" numFmtId="0">
      <sharedItems containsBlank="1"/>
    </cacheField>
    <cacheField name="Témoin 5" numFmtId="0">
      <sharedItems containsBlank="1"/>
    </cacheField>
    <cacheField name="Accord"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879.676754513886" createdVersion="6" refreshedVersion="6" minRefreshableVersion="3" recordCount="240" xr:uid="{9B449B74-376F-4CFE-9B58-4BFF2FAC859E}">
  <cacheSource type="worksheet">
    <worksheetSource ref="E1:E1048576" sheet="Terrier"/>
  </cacheSource>
  <cacheFields count="1">
    <cacheField name="Localité" numFmtId="0">
      <sharedItems containsBlank="1" count="81">
        <s v="Mastortet"/>
        <s v="Sancto Agrippavio"/>
        <s v="Devessetum"/>
        <s v="Villa Nova Devesseti"/>
        <s v="Flossac"/>
        <s v="Chanclausa"/>
        <s v="Croseto Minoris"/>
        <s v="Gorgoras"/>
        <s v="Avenas"/>
        <s v="La Vileta"/>
        <s v="Del Maset"/>
        <s v="Ruppe"/>
        <s v="Beal"/>
        <s v="Masalibrant"/>
        <s v="Chaudaralis"/>
        <s v="Liomas"/>
        <s v="Hereone"/>
        <s v="Chalmetis"/>
        <s v="Rilhac"/>
        <s v="Chalmetis de Sanna"/>
        <s v="Mundo"/>
        <s v="Chalmariais"/>
        <s v="Villalonia"/>
        <s v="Socheria"/>
        <s v="Lermet"/>
        <s v="Villa Longia"/>
        <s v="Chanils"/>
        <s v="Comba Sancta Gitatis"/>
        <s v="Ruela"/>
        <s v="Montilio"/>
        <s v="Feudo"/>
        <s v="Filatrama"/>
        <s v="La Brueyra"/>
        <s v="Fonte"/>
        <s v="Frigidis Perietibus"/>
        <s v="La Boscha"/>
        <s v="Chalma"/>
        <s v="La Costa"/>
        <s v="Vunha"/>
        <s v="La Valeta"/>
        <s v="La Valeta Raybrant"/>
        <s v="Las Ruschas"/>
        <s v="Malagayta"/>
        <s v="Sancto Juliano in Boteria"/>
        <s v="Montreont"/>
        <s v="Del Mundo Sancti Martini"/>
        <s v="La Valeta dens Clotz"/>
        <s v="Paulhac"/>
        <s v="Del Verne"/>
        <s v="Sanna"/>
        <s v="Del Sape"/>
        <s v="Unario"/>
        <s v="Vilario"/>
        <s v="Viriderio"/>
        <s v="Del Chastanheir de Jannac"/>
        <s v="Pontetz"/>
        <s v="Montelhet"/>
        <s v="Malavalle"/>
        <s v="Ruotorto"/>
        <s v="Raschassac"/>
        <s v="Chantaloba"/>
        <s v="Lanarena"/>
        <s v="Chapons"/>
        <s v="Malgnines"/>
        <s v="Arcens"/>
        <s v="Les Reymons"/>
        <s v="La Rocha"/>
        <s v="Furnis"/>
        <s v="Podio Brunent"/>
        <s v="Brusco"/>
        <s v="Champanhac"/>
        <s v="Dens Tenanos"/>
        <s v="Chaslario"/>
        <s v="Dens Forcus"/>
        <m/>
        <s v="La Brossa" u="1"/>
        <s v="De Sancto Juliano in Boteria" u="1"/>
        <s v="Chandaralis" u="1"/>
        <s v="Mendigolas" u="1"/>
        <s v="Del Mastortet" u="1"/>
        <s v="Subtus domi vocati Vileta" u="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gile" refreshedDate="43932.835691087967" createdVersion="6" refreshedVersion="6" minRefreshableVersion="3" recordCount="230" xr:uid="{C8FD0FB9-23C8-4C9A-AA4F-FF193B02C34F}">
  <cacheSource type="worksheet">
    <worksheetSource ref="A1:DJ231" sheet="Terrier"/>
  </cacheSource>
  <cacheFields count="114">
    <cacheField name="Code" numFmtId="0">
      <sharedItems containsString="0" containsBlank="1" containsNumber="1" containsInteger="1" minValue="142" maxValue="1873"/>
    </cacheField>
    <cacheField name="Indication sur page" numFmtId="0">
      <sharedItems containsBlank="1"/>
    </cacheField>
    <cacheField name="Prénom" numFmtId="0">
      <sharedItems containsBlank="1"/>
    </cacheField>
    <cacheField name="Nom" numFmtId="0">
      <sharedItems containsBlank="1"/>
    </cacheField>
    <cacheField name="Localité" numFmtId="0">
      <sharedItems containsBlank="1"/>
    </cacheField>
    <cacheField name="Origine" numFmtId="0">
      <sharedItems containsBlank="1"/>
    </cacheField>
    <cacheField name="Informations familiales" numFmtId="0">
      <sharedItems containsBlank="1"/>
    </cacheField>
    <cacheField name="Nomine" numFmtId="0">
      <sharedItems containsBlank="1" longText="1"/>
    </cacheField>
    <cacheField name="Genre" numFmtId="0">
      <sharedItems containsBlank="1"/>
    </cacheField>
    <cacheField name="Année" numFmtId="0">
      <sharedItems containsBlank="1" containsMixedTypes="1" containsNumber="1" containsInteger="1" minValue="1342" maxValue="1346"/>
    </cacheField>
    <cacheField name="Mois" numFmtId="0">
      <sharedItems containsBlank="1" count="15">
        <s v="Avril"/>
        <s v="Octobre"/>
        <s v="Décembre"/>
        <s v="Février"/>
        <s v="Janvier"/>
        <s v="Mars"/>
        <s v="Mai"/>
        <s v="Août"/>
        <s v="Juin"/>
        <s v="Septembre"/>
        <s v="Novembre"/>
        <s v="?"/>
        <s v="Juillet"/>
        <m/>
        <s v="Fevrier" u="1"/>
      </sharedItems>
    </cacheField>
    <cacheField name="Jour" numFmtId="0">
      <sharedItems containsBlank="1" containsMixedTypes="1" containsNumber="1" containsInteger="1" minValue="1" maxValue="31"/>
    </cacheField>
    <cacheField name="Commandeur (italique = non dit)" numFmtId="0">
      <sharedItems containsBlank="1"/>
    </cacheField>
    <cacheField name="Statut" numFmtId="0">
      <sharedItems containsBlank="1"/>
    </cacheField>
    <cacheField name="Implication statut" numFmtId="0">
      <sharedItems containsBlank="1"/>
    </cacheField>
    <cacheField name="Venire ad comi et critu castri Devessti cum armis" numFmtId="0">
      <sharedItems containsBlank="1"/>
    </cacheField>
    <cacheField name="Manobrias" numFmtId="0">
      <sharedItems containsBlank="1"/>
    </cacheField>
    <cacheField name="Jornalia" numFmtId="0">
      <sharedItems containsBlank="1"/>
    </cacheField>
    <cacheField name="Chareis" numFmtId="0">
      <sharedItems containsBlank="1"/>
    </cacheField>
    <cacheField name="Espleyt" numFmtId="0">
      <sharedItems containsBlank="1"/>
    </cacheField>
    <cacheField name="Complément sur Corvées" numFmtId="0">
      <sharedItems containsBlank="1"/>
    </cacheField>
    <cacheField name="Statut terre" numFmtId="0">
      <sharedItems containsBlank="1"/>
    </cacheField>
    <cacheField name="Domus" numFmtId="0">
      <sharedItems containsBlank="1" containsMixedTypes="1" containsNumber="1" containsInteger="1" minValue="1" maxValue="2"/>
    </cacheField>
    <cacheField name="Orti" numFmtId="0">
      <sharedItems containsBlank="1" containsMixedTypes="1" containsNumber="1" containsInteger="1" minValue="1" maxValue="5"/>
    </cacheField>
    <cacheField name="Prata" numFmtId="0">
      <sharedItems containsBlank="1" containsMixedTypes="1" containsNumber="1" minValue="0.5" maxValue="9"/>
    </cacheField>
    <cacheField name="Compos" numFmtId="0">
      <sharedItems containsBlank="1" containsMixedTypes="1" containsNumber="1" containsInteger="1" minValue="1" maxValue="1"/>
    </cacheField>
    <cacheField name="Nemora" numFmtId="0">
      <sharedItems containsBlank="1" containsMixedTypes="1" containsNumber="1" minValue="0.2" maxValue="3"/>
    </cacheField>
    <cacheField name="Pascua" numFmtId="0">
      <sharedItems containsBlank="1" containsMixedTypes="1" containsNumber="1" containsInteger="1" minValue="1" maxValue="1"/>
    </cacheField>
    <cacheField name="Pasturalia" numFmtId="0">
      <sharedItems containsBlank="1" containsMixedTypes="1" containsNumber="1" containsInteger="1" minValue="1" maxValue="2"/>
    </cacheField>
    <cacheField name="Terrae" numFmtId="0">
      <sharedItems containsBlank="1" containsMixedTypes="1" containsNumber="1" minValue="0.5" maxValue="9.1666666666666661"/>
    </cacheField>
    <cacheField name="Casalia" numFmtId="0">
      <sharedItems containsBlank="1" containsMixedTypes="1" containsNumber="1" containsInteger="1" minValue="1" maxValue="1"/>
    </cacheField>
    <cacheField name="Casamenta" numFmtId="0">
      <sharedItems containsBlank="1"/>
    </cacheField>
    <cacheField name="Grangiae" numFmtId="0">
      <sharedItems containsBlank="1" containsMixedTypes="1" containsNumber="1" containsInteger="1" minValue="1" maxValue="1"/>
    </cacheField>
    <cacheField name="Denesia" numFmtId="0">
      <sharedItems containsBlank="1"/>
    </cacheField>
    <cacheField name="Calma" numFmtId="0">
      <sharedItems containsBlank="1" containsMixedTypes="1" containsNumber="1" containsInteger="1" minValue="1" maxValue="1"/>
    </cacheField>
    <cacheField name="Assensa" numFmtId="0">
      <sharedItems containsBlank="1" containsMixedTypes="1" containsNumber="1" containsInteger="1" minValue="1" maxValue="1"/>
    </cacheField>
    <cacheField name="Molendinus" numFmtId="0">
      <sharedItems containsBlank="1" containsMixedTypes="1" containsNumber="1" containsInteger="1" minValue="1" maxValue="1"/>
    </cacheField>
    <cacheField name="Ouchias" numFmtId="0">
      <sharedItems containsBlank="1" containsMixedTypes="1" containsNumber="1" containsInteger="1" minValue="1" maxValue="2"/>
    </cacheField>
    <cacheField name="Garaitum" numFmtId="0">
      <sharedItems containsBlank="1" containsMixedTypes="1" containsNumber="1" containsInteger="1" minValue="1" maxValue="3"/>
    </cacheField>
    <cacheField name="Patile" numFmtId="0">
      <sharedItems containsBlank="1"/>
    </cacheField>
    <cacheField name="Hospicii" numFmtId="0">
      <sharedItems containsBlank="1" containsMixedTypes="1" containsNumber="1" containsInteger="1" minValue="1" maxValue="1"/>
    </cacheField>
    <cacheField name="Petiae" numFmtId="0">
      <sharedItems containsBlank="1" containsMixedTypes="1" containsNumber="1" minValue="0.5" maxValue="15"/>
    </cacheField>
    <cacheField name="Esclausae" numFmtId="0">
      <sharedItems containsBlank="1" containsMixedTypes="1" containsNumber="1" containsInteger="1" minValue="1" maxValue="1"/>
    </cacheField>
    <cacheField name="Terminus" numFmtId="0">
      <sharedItems containsBlank="1" containsMixedTypes="1" containsNumber="1" containsInteger="1" minValue="1" maxValue="1"/>
    </cacheField>
    <cacheField name="Costam" numFmtId="0">
      <sharedItems containsBlank="1" containsMixedTypes="1" containsNumber="1" containsInteger="1" minValue="1" maxValue="1"/>
    </cacheField>
    <cacheField name="Sana" numFmtId="0">
      <sharedItems containsBlank="1" containsMixedTypes="1" containsNumber="1" containsInteger="1" minValue="1" maxValue="1"/>
    </cacheField>
    <cacheField name="Tenementum" numFmtId="0">
      <sharedItems containsBlank="1" containsMixedTypes="1" containsNumber="1" containsInteger="1" minValue="1" maxValue="2"/>
    </cacheField>
    <cacheField name="Versana" numFmtId="0">
      <sharedItems containsBlank="1" containsMixedTypes="1" containsNumber="1" containsInteger="1" minValue="3" maxValue="3"/>
    </cacheField>
    <cacheField name="Masacgio" numFmtId="0">
      <sharedItems containsBlank="1" containsMixedTypes="1" containsNumber="1" containsInteger="1" minValue="1" maxValue="1"/>
    </cacheField>
    <cacheField name="Vineae" numFmtId="0">
      <sharedItems containsBlank="1" containsMixedTypes="1" containsNumber="1" containsInteger="1" minValue="1" maxValue="2"/>
    </cacheField>
    <cacheField name="Blachia" numFmtId="0">
      <sharedItems containsBlank="1" containsMixedTypes="1" containsNumber="1" containsInteger="1" minValue="1" maxValue="1"/>
    </cacheField>
    <cacheField name="Arbores" numFmtId="0">
      <sharedItems containsBlank="1"/>
    </cacheField>
    <cacheField name="Passetae" numFmtId="0">
      <sharedItems containsBlank="1" containsMixedTypes="1" containsNumber="1" containsInteger="1" minValue="1" maxValue="1"/>
    </cacheField>
    <cacheField name="Chastanerii" numFmtId="0">
      <sharedItems containsBlank="1" containsMixedTypes="1" containsNumber="1" containsInteger="1" minValue="1" maxValue="1"/>
    </cacheField>
    <cacheField name="Dens Meses" numFmtId="0">
      <sharedItems containsBlank="1"/>
    </cacheField>
    <cacheField name="Levata" numFmtId="0">
      <sharedItems containsBlank="1" containsMixedTypes="1" containsNumber="1" containsInteger="1" minValue="1" maxValue="2"/>
    </cacheField>
    <cacheField name="Creysementum" numFmtId="0">
      <sharedItems containsBlank="1" containsMixedTypes="1" containsNumber="1" containsInteger="1" minValue="1" maxValue="1"/>
    </cacheField>
    <cacheField name="Bessaa" numFmtId="0">
      <sharedItems containsBlank="1" containsMixedTypes="1" containsNumber="1" containsInteger="1" minValue="1" maxValue="1"/>
    </cacheField>
    <cacheField name="Besseta" numFmtId="0">
      <sharedItems containsBlank="1" containsMixedTypes="1" containsNumber="1" containsInteger="1" minValue="1" maxValue="1"/>
    </cacheField>
    <cacheField name="Lameytenchada" numFmtId="0">
      <sharedItems containsBlank="1" containsMixedTypes="1" containsNumber="1" containsInteger="1" minValue="1" maxValue="1"/>
    </cacheField>
    <cacheField name="Bealis" numFmtId="0">
      <sharedItems containsBlank="1"/>
    </cacheField>
    <cacheField name="Mansum" numFmtId="0">
      <sharedItems containsBlank="1" containsMixedTypes="1" containsNumber="1" containsInteger="1" minValue="1" maxValue="1"/>
    </cacheField>
    <cacheField name="Sanhassium" numFmtId="0">
      <sharedItems containsBlank="1" containsMixedTypes="1" containsNumber="1" containsInteger="1" minValue="1" maxValue="1"/>
    </cacheField>
    <cacheField name="Autres possessions" numFmtId="0">
      <sharedItems containsBlank="1"/>
    </cacheField>
    <cacheField name="Collonne Fourzitout" numFmtId="0">
      <sharedItems containsBlank="1"/>
    </cacheField>
    <cacheField name="Incluzo (voir détails sur possessions)" numFmtId="0">
      <sharedItems containsBlank="1"/>
    </cacheField>
    <cacheField name="Lieux terres" numFmtId="0">
      <sharedItems containsBlank="1"/>
    </cacheField>
    <cacheField name="Représente" numFmtId="0">
      <sharedItems containsBlank="1"/>
    </cacheField>
    <cacheField name="Mesure de céréale utilisée" numFmtId="0">
      <sharedItems containsBlank="1"/>
    </cacheField>
    <cacheField name="Cens en poule" numFmtId="0">
      <sharedItems containsString="0" containsBlank="1" containsNumber="1" minValue="0" maxValue="83.93154761904762"/>
    </cacheField>
    <cacheField name="Cens en froment (en Meytencus)" numFmtId="0">
      <sharedItems containsString="0" containsBlank="1" containsNumber="1" containsInteger="1" minValue="0" maxValue="1"/>
    </cacheField>
    <cacheField name="Cens en froment (en cartalis)" numFmtId="0">
      <sharedItems containsString="0" containsBlank="1" containsNumber="1" containsInteger="1" minValue="0" maxValue="1"/>
    </cacheField>
    <cacheField name="Total Froment" numFmtId="0">
      <sharedItems containsSemiMixedTypes="0" containsString="0" containsNumber="1" minValue="0" maxValue="29.25"/>
    </cacheField>
    <cacheField name="Cens en seigle (en setier)" numFmtId="0">
      <sharedItems containsString="0" containsBlank="1" containsNumber="1" containsInteger="1" minValue="0" maxValue="8"/>
    </cacheField>
    <cacheField name="Cens en seigle (emine, = 1/2 setier)" numFmtId="0">
      <sharedItems containsString="0" containsBlank="1" containsNumber="1" containsInteger="1" minValue="0" maxValue="1"/>
    </cacheField>
    <cacheField name="Cense en seigle (en Meytencus, Mesure de Tence)" numFmtId="0">
      <sharedItems containsString="0" containsBlank="1" containsNumber="1" minValue="0" maxValue="24.5"/>
    </cacheField>
    <cacheField name="Cens en seigle (en cartayronis)" numFmtId="0">
      <sharedItems containsString="0" containsBlank="1" containsNumber="1" minValue="-1" maxValue="9"/>
    </cacheField>
    <cacheField name="cens en seigle (en cartalis)" numFmtId="0">
      <sharedItems containsString="0" containsBlank="1" containsNumber="1" containsInteger="1" minValue="0" maxValue="2"/>
    </cacheField>
    <cacheField name="Cens en seigle (en carteria)" numFmtId="0">
      <sharedItems containsString="0" containsBlank="1" containsNumber="1" minValue="0" maxValue="2"/>
    </cacheField>
    <cacheField name="Cens en seigle (en carta)" numFmtId="0">
      <sharedItems containsString="0" containsBlank="1" containsNumber="1" containsInteger="1" minValue="0" maxValue="12"/>
    </cacheField>
    <cacheField name="Total Seigle" numFmtId="0">
      <sharedItems containsSemiMixedTypes="0" containsString="0" containsNumber="1" minValue="0" maxValue="4555.1651785714284"/>
    </cacheField>
    <cacheField name="Cens en avoine (en setier)" numFmtId="0">
      <sharedItems containsString="0" containsBlank="1" containsNumber="1" containsInteger="1" minValue="0" maxValue="4"/>
    </cacheField>
    <cacheField name="Cens en avoine (emine, =1/2 setier)" numFmtId="0">
      <sharedItems containsString="0" containsBlank="1" containsNumber="1" containsInteger="1" minValue="0" maxValue="1"/>
    </cacheField>
    <cacheField name="Cens en avoine (en Meytencus, Mesure de Tence)" numFmtId="0">
      <sharedItems containsString="0" containsBlank="1" containsNumber="1" minValue="0" maxValue="20"/>
    </cacheField>
    <cacheField name="Cens en avoine (en cartayronis)" numFmtId="0">
      <sharedItems containsString="0" containsBlank="1" containsNumber="1" minValue="0" maxValue="9"/>
    </cacheField>
    <cacheField name="Cens en avoine (en cartalis)" numFmtId="0">
      <sharedItems containsString="0" containsBlank="1" containsNumber="1" containsInteger="1" minValue="0" maxValue="3"/>
    </cacheField>
    <cacheField name="Cens en avoine (en carte)" numFmtId="0">
      <sharedItems containsString="0" containsBlank="1" containsNumber="1" containsInteger="1" minValue="0" maxValue="1"/>
    </cacheField>
    <cacheField name="Cens en avoine (en carteria)" numFmtId="0">
      <sharedItems containsString="0" containsBlank="1" containsNumber="1" minValue="-0.5" maxValue="5.2"/>
    </cacheField>
    <cacheField name="Cens en avoine (en ras)" numFmtId="0">
      <sharedItems containsString="0" containsBlank="1" containsNumber="1" minValue="0" maxValue="1"/>
    </cacheField>
    <cacheField name="Total Avoine" numFmtId="0">
      <sharedItems containsSemiMixedTypes="0" containsString="0" containsNumber="1" minValue="0" maxValue="2482.4370535714288"/>
    </cacheField>
    <cacheField name="Cens en Meytencus conble de nodus" numFmtId="0">
      <sharedItems containsString="0" containsBlank="1" containsNumber="1" containsInteger="1" minValue="0" maxValue="1"/>
    </cacheField>
    <cacheField name="Cens en castanearium (carteria)" numFmtId="0">
      <sharedItems containsString="0" containsBlank="1" containsNumber="1" containsInteger="1" minValue="0" maxValue="6"/>
    </cacheField>
    <cacheField name="Cens en uncleorum (carta)" numFmtId="0">
      <sharedItems containsString="0" containsBlank="1" containsNumber="1" containsInteger="1" minValue="0" maxValue="1"/>
    </cacheField>
    <cacheField name="Cens en Tonem (vêtement)" numFmtId="0">
      <sharedItems containsString="0" containsBlank="1" containsNumber="1" containsInteger="1" minValue="0" maxValue="1"/>
    </cacheField>
    <cacheField name="Potne" numFmtId="0">
      <sharedItems containsString="0" containsBlank="1" containsNumber="1" minValue="0" maxValue="0.5"/>
    </cacheField>
    <cacheField name="Dont (voir détails sur redevances)" numFmtId="0">
      <sharedItems containsBlank="1"/>
    </cacheField>
    <cacheField name="Monaie (sous)" numFmtId="0">
      <sharedItems containsString="0" containsBlank="1" containsNumber="1" minValue="0" maxValue="46.333333333333336"/>
    </cacheField>
    <cacheField name="Monaie (obole)" numFmtId="0">
      <sharedItems containsString="0" containsBlank="1" containsNumber="1" minValue="-1" maxValue="3"/>
    </cacheField>
    <cacheField name="Monaie (pogesa)" numFmtId="0">
      <sharedItems containsString="0" containsBlank="1" containsNumber="1" minValue="0" maxValue="4"/>
    </cacheField>
    <cacheField name="Picta" numFmtId="0">
      <sharedItems containsString="0" containsBlank="1" containsNumber="1" minValue="-1" maxValue="3.75"/>
    </cacheField>
    <cacheField name="Total sous tournois" numFmtId="0">
      <sharedItems containsSemiMixedTypes="0" containsString="0" containsNumber="1" minValue="0" maxValue="47.234774305555547"/>
    </cacheField>
    <cacheField name="Sous Viennois" numFmtId="0">
      <sharedItems containsString="0" containsBlank="1" containsNumber="1" minValue="0" maxValue="1.5000000000000002"/>
    </cacheField>
    <cacheField name="Pour" numFmtId="0">
      <sharedItems containsBlank="1"/>
    </cacheField>
    <cacheField name="Jour paiement" numFmtId="0">
      <sharedItems containsBlank="1"/>
    </cacheField>
    <cacheField name="Type de Juridiction" numFmtId="0">
      <sharedItems containsBlank="1"/>
    </cacheField>
    <cacheField name="Castrum / Mandement" numFmtId="0">
      <sharedItems containsBlank="1"/>
    </cacheField>
    <cacheField name="Fait à" numFmtId="0">
      <sharedItems containsBlank="1"/>
    </cacheField>
    <cacheField name="Notaire public royal + notaire de la maison de Devesset (page 52)" numFmtId="0">
      <sharedItems containsBlank="1"/>
    </cacheField>
    <cacheField name="Témoin 1" numFmtId="0">
      <sharedItems containsBlank="1"/>
    </cacheField>
    <cacheField name="Témoin 2" numFmtId="0">
      <sharedItems containsBlank="1"/>
    </cacheField>
    <cacheField name="Témoin 3" numFmtId="0">
      <sharedItems containsBlank="1"/>
    </cacheField>
    <cacheField name="Témoin 4" numFmtId="0">
      <sharedItems containsBlank="1"/>
    </cacheField>
    <cacheField name="Témoin 5" numFmtId="0">
      <sharedItems containsBlank="1"/>
    </cacheField>
    <cacheField name="Accord"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0">
  <r>
    <n v="1292"/>
    <s v="Martinus"/>
    <x v="0"/>
    <s v="H"/>
    <n v="1343"/>
    <s v="Décembre"/>
    <n v="10"/>
    <x v="0"/>
    <s v="Ortum de Las Craynas"/>
    <s v="Subtus domi vocati Vileta"/>
    <s v="Orto suum fratrum"/>
    <s v="Orto Peiruchonis Nigri d'Arcens"/>
    <m/>
    <m/>
    <m/>
    <m/>
    <m/>
  </r>
  <r>
    <n v="1271"/>
    <s v="Poncius"/>
    <x v="1"/>
    <s v="H"/>
    <n v="1343"/>
    <s v="Décembre"/>
    <n v="10"/>
    <x v="1"/>
    <m/>
    <s v="Sitas apud Avenas"/>
    <s v="Orto heredum Peyroneii de la Blacha condam"/>
    <s v="Orto Michaelis de la Gardeta"/>
    <m/>
    <m/>
    <m/>
    <m/>
    <m/>
  </r>
  <r>
    <n v="1271"/>
    <s v="Poncius"/>
    <x v="1"/>
    <s v="H"/>
    <n v="1343"/>
    <s v="Décembre"/>
    <n v="10"/>
    <x v="1"/>
    <m/>
    <s v="Sitas apud Avenas"/>
    <s v="Orto heredum Michaelis de la Gardeta"/>
    <s v="Curtilachio Johannis D'Avenas"/>
    <m/>
    <m/>
    <m/>
    <m/>
    <m/>
  </r>
  <r>
    <n v="1271"/>
    <s v="Poncius"/>
    <x v="1"/>
    <s v="H"/>
    <n v="1343"/>
    <s v="Décembre"/>
    <n v="10"/>
    <x v="2"/>
    <m/>
    <s v="Sitos apud Avenas"/>
    <s v="Orto heredum Michaelis de la Gardeta"/>
    <m/>
    <m/>
    <m/>
    <m/>
    <m/>
    <m/>
  </r>
  <r>
    <n v="1271"/>
    <s v="Poncius"/>
    <x v="1"/>
    <s v="H"/>
    <n v="1343"/>
    <s v="Décembre"/>
    <n v="10"/>
    <x v="2"/>
    <m/>
    <s v="Sitos apud Avenas"/>
    <s v="Domo Johannis D'Avenas"/>
    <s v="Via qua itur versus Lacumba"/>
    <m/>
    <m/>
    <m/>
    <m/>
    <m/>
  </r>
  <r>
    <n v="1271"/>
    <s v="Poncius"/>
    <x v="1"/>
    <s v="H"/>
    <n v="1343"/>
    <s v="Décembre"/>
    <n v="10"/>
    <x v="3"/>
    <s v="Del Chape"/>
    <m/>
    <s v="Rivo de Laplantea"/>
    <s v="Prato de Rivo Michaelis de la Gardeta"/>
    <s v="Terra Martini de Laboisonaa"/>
    <m/>
    <m/>
    <m/>
    <s v="Qua sunt duo nacrio"/>
  </r>
  <r>
    <n v="1271"/>
    <s v="Poncius"/>
    <x v="1"/>
    <s v="H"/>
    <n v="1343"/>
    <s v="Décembre"/>
    <n v="10"/>
    <x v="4"/>
    <s v="Del Verne"/>
    <s v="Situm in territorio d'Avenas"/>
    <s v="Terra Michaelis Fabri de Lagardeta"/>
    <s v="Prato Michaelis D'Avenas"/>
    <m/>
    <m/>
    <m/>
    <m/>
    <m/>
  </r>
  <r>
    <n v="1271"/>
    <s v="Poncius"/>
    <x v="1"/>
    <s v="H"/>
    <n v="1343"/>
    <s v="Décembre"/>
    <n v="10"/>
    <x v="3"/>
    <s v="Las Fontanelas"/>
    <s v="Prato suo Del Verne"/>
    <s v="Terra domini de Brione"/>
    <m/>
    <m/>
    <m/>
    <m/>
    <m/>
    <s v="Cum omnibus partibus"/>
  </r>
  <r>
    <n v="1271"/>
    <s v="Poncius"/>
    <x v="1"/>
    <s v="H"/>
    <n v="1343"/>
    <s v="Décembre"/>
    <n v="10"/>
    <x v="3"/>
    <s v="De Fonte"/>
    <m/>
    <s v="Via qua itur d'Avenas versus pratum Del Verne"/>
    <m/>
    <m/>
    <m/>
    <m/>
    <m/>
    <m/>
  </r>
  <r>
    <n v="1271"/>
    <s v="Poncius"/>
    <x v="1"/>
    <s v="H"/>
    <n v="1343"/>
    <s v="Décembre"/>
    <n v="10"/>
    <x v="5"/>
    <s v="De Plantaa"/>
    <m/>
    <s v="Vinea Michaelis d'Avenas condam"/>
    <m/>
    <m/>
    <m/>
    <m/>
    <m/>
    <m/>
  </r>
  <r>
    <n v="1271"/>
    <s v="Poncius"/>
    <x v="1"/>
    <s v="H"/>
    <n v="1343"/>
    <s v="Décembre"/>
    <n v="10"/>
    <x v="5"/>
    <s v="De La Peira"/>
    <m/>
    <s v="Vinea heredum Michaelis d'Avenas condam"/>
    <m/>
    <m/>
    <m/>
    <m/>
    <m/>
    <m/>
  </r>
  <r>
    <n v="1272"/>
    <s v="Martinus et Johannes"/>
    <x v="1"/>
    <s v="H"/>
    <n v="1343"/>
    <s v="Décembre"/>
    <n v="10"/>
    <x v="1"/>
    <m/>
    <s v="Sitam apud Avenas"/>
    <m/>
    <m/>
    <m/>
    <m/>
    <m/>
    <m/>
    <m/>
  </r>
  <r>
    <n v="1272"/>
    <s v="Martinus et Johannes"/>
    <x v="1"/>
    <s v="H"/>
    <n v="1343"/>
    <s v="Décembre"/>
    <n v="10"/>
    <x v="6"/>
    <m/>
    <s v="Territorium de Avenas"/>
    <s v="Territorio de la Gardeta"/>
    <m/>
    <m/>
    <m/>
    <m/>
    <m/>
    <s v="Ab omnibus partibus"/>
  </r>
  <r>
    <n v="1272"/>
    <s v="Martinus et Johannes"/>
    <x v="1"/>
    <s v="H"/>
    <n v="1343"/>
    <s v="Décembre"/>
    <n v="10"/>
    <x v="3"/>
    <s v="De Cuba del Vocs"/>
    <m/>
    <s v="Territorio de la Gardeta"/>
    <s v="Petia Ponchonis d'Avenas"/>
    <m/>
    <m/>
    <m/>
    <m/>
    <m/>
  </r>
  <r>
    <n v="1272"/>
    <s v="Martinus et Johannes"/>
    <x v="1"/>
    <s v="H"/>
    <n v="1343"/>
    <s v="Décembre"/>
    <n v="10"/>
    <x v="4"/>
    <s v="De Verneto"/>
    <m/>
    <s v="Territorio de la Gardeta"/>
    <s v="Prato Ponchonis d'Avenas"/>
    <m/>
    <m/>
    <m/>
    <m/>
    <m/>
  </r>
  <r>
    <n v="1281"/>
    <s v="Johannis"/>
    <x v="1"/>
    <s v="H"/>
    <n v="1343"/>
    <s v="Décembre"/>
    <n v="10"/>
    <x v="1"/>
    <m/>
    <s v="Sitas apud Avenas"/>
    <m/>
    <m/>
    <m/>
    <m/>
    <m/>
    <m/>
    <m/>
  </r>
  <r>
    <n v="1281"/>
    <s v="Johannis"/>
    <x v="1"/>
    <s v="H"/>
    <n v="1343"/>
    <s v="Décembre"/>
    <n v="10"/>
    <x v="6"/>
    <m/>
    <s v="Territorium de Avenas"/>
    <s v="Territorio de la Gardeta"/>
    <m/>
    <m/>
    <m/>
    <m/>
    <m/>
    <s v="Circumcirca"/>
  </r>
  <r>
    <n v="1281"/>
    <s v="Johannis"/>
    <x v="1"/>
    <s v="H"/>
    <n v="1343"/>
    <s v="Décembre"/>
    <n v="10"/>
    <x v="3"/>
    <m/>
    <s v="Sitam in cumba vocata del Voc"/>
    <s v="Terra domini de Brione (a duabus partibus)"/>
    <s v="Terra heredum Michaelis d'Avenas"/>
    <m/>
    <m/>
    <m/>
    <m/>
    <m/>
  </r>
  <r>
    <n v="1284"/>
    <s v="Laurentia"/>
    <x v="1"/>
    <s v="F"/>
    <n v="1343"/>
    <s v="Décembre"/>
    <n v="10"/>
    <x v="2"/>
    <m/>
    <s v="Situm in territorio d'Avenas"/>
    <s v="Orto Poncii d'Avenas"/>
    <s v="Orto Staphani Chabassonis de Las Blachas"/>
    <m/>
    <m/>
    <m/>
    <m/>
    <m/>
  </r>
  <r>
    <n v="1284"/>
    <s v="Laurentia"/>
    <x v="1"/>
    <s v="F"/>
    <n v="1343"/>
    <s v="Décembre"/>
    <n v="10"/>
    <x v="2"/>
    <m/>
    <s v="Situm in territorio d'Avenas"/>
    <s v="Orto Johannis filii Michaelis d'Avenas condam"/>
    <m/>
    <m/>
    <m/>
    <m/>
    <m/>
    <m/>
  </r>
  <r>
    <n v="1284"/>
    <s v="Laurentia"/>
    <x v="1"/>
    <s v="F"/>
    <n v="1343"/>
    <s v="Décembre"/>
    <n v="10"/>
    <x v="7"/>
    <m/>
    <s v="Sitam apud Avenas"/>
    <s v="Domo heredum Michaelis d'Avenas condam"/>
    <m/>
    <m/>
    <m/>
    <m/>
    <m/>
    <m/>
  </r>
  <r>
    <n v="1284"/>
    <s v="Laurentia"/>
    <x v="1"/>
    <s v="F"/>
    <n v="1343"/>
    <s v="Décembre"/>
    <n v="10"/>
    <x v="4"/>
    <m/>
    <s v="Situm in territorio de Las Fontanelas"/>
    <s v="Prato Johannis d'Avenas"/>
    <s v="Terra domini de Brione"/>
    <m/>
    <m/>
    <m/>
    <m/>
    <m/>
  </r>
  <r>
    <n v="1284"/>
    <s v="Laurentia"/>
    <x v="1"/>
    <s v="F"/>
    <n v="1343"/>
    <s v="Décembre"/>
    <n v="10"/>
    <x v="0"/>
    <s v="Del Crozas"/>
    <m/>
    <s v="Terra Staphani de La Blacha"/>
    <m/>
    <m/>
    <m/>
    <m/>
    <m/>
    <m/>
  </r>
  <r>
    <n v="1284"/>
    <s v="Laurentia"/>
    <x v="1"/>
    <s v="F"/>
    <n v="1343"/>
    <s v="Décembre"/>
    <n v="10"/>
    <x v="0"/>
    <s v="Del Crozas"/>
    <m/>
    <s v="Terra Martini de la Boyssonada"/>
    <s v="Terra domini de Brione"/>
    <m/>
    <m/>
    <m/>
    <m/>
    <m/>
  </r>
  <r>
    <n v="1284"/>
    <s v="Laurentia"/>
    <x v="1"/>
    <s v="F"/>
    <n v="1343"/>
    <s v="Décembre"/>
    <n v="10"/>
    <x v="2"/>
    <m/>
    <s v="Situm in territorio de Las Fontanelas, in loco vocato Del Vinhalet d'Avenas"/>
    <s v="Terra Johannis d'Avenas"/>
    <s v="Terra Poncii d'Avenas"/>
    <m/>
    <m/>
    <m/>
    <m/>
    <m/>
  </r>
  <r>
    <n v="1284"/>
    <s v="Laurentia"/>
    <x v="1"/>
    <s v="F"/>
    <n v="1343"/>
    <s v="Décembre"/>
    <n v="10"/>
    <x v="0"/>
    <m/>
    <s v="Situm in territorio d'Avenas"/>
    <s v="Terra Johannis d'Avenas"/>
    <s v="Terra Poncii d'Avenas"/>
    <m/>
    <m/>
    <m/>
    <m/>
    <m/>
  </r>
  <r>
    <n v="1284"/>
    <s v="Laurentia"/>
    <x v="1"/>
    <s v="F"/>
    <n v="1343"/>
    <s v="Décembre"/>
    <n v="10"/>
    <x v="8"/>
    <s v="De Laliere"/>
    <m/>
    <s v="Terra Poncii d'Avenas"/>
    <m/>
    <m/>
    <m/>
    <m/>
    <m/>
    <m/>
  </r>
  <r>
    <n v="1284"/>
    <s v="Laurentia"/>
    <x v="1"/>
    <s v="F"/>
    <n v="1343"/>
    <s v="Décembre"/>
    <n v="10"/>
    <x v="8"/>
    <s v="Del Champ d'Avenas"/>
    <m/>
    <s v="Terra Poncii d'Avenas"/>
    <s v="Terra heredum Michaelis  d'Avenas"/>
    <m/>
    <m/>
    <m/>
    <m/>
    <m/>
  </r>
  <r>
    <n v="1291"/>
    <s v="Petrus"/>
    <x v="1"/>
    <s v="H"/>
    <n v="1343"/>
    <s v="Décembre"/>
    <n v="10"/>
    <x v="0"/>
    <m/>
    <s v="Sitam in territorio vocato de Glates, in cumba Ba[…] Montocul"/>
    <s v="Rivo vocato de Montugul"/>
    <s v="Terra Fumass de Aibone domicelli"/>
    <m/>
    <m/>
    <m/>
    <m/>
    <m/>
  </r>
  <r>
    <n v="1171"/>
    <s v="Johannes"/>
    <x v="2"/>
    <s v="H"/>
    <n v="1343"/>
    <s v="Décembre"/>
    <n v="13"/>
    <x v="4"/>
    <s v="Del Sant"/>
    <s v="Situm in territotio de Las Costas"/>
    <s v="Prato Johannis Grugonis"/>
    <s v="Prato Jacobi Chareira de Vilalonia"/>
    <m/>
    <m/>
    <m/>
    <m/>
    <m/>
  </r>
  <r>
    <n v="1792"/>
    <s v="Vitalis"/>
    <x v="3"/>
    <s v="H"/>
    <n v="1343"/>
    <s v="Janvier"/>
    <n v="13"/>
    <x v="1"/>
    <m/>
    <s v="Sitas in loco de Chalma prope Cheynetum"/>
    <m/>
    <m/>
    <m/>
    <m/>
    <m/>
    <m/>
    <m/>
  </r>
  <r>
    <n v="1792"/>
    <s v="Vitalis"/>
    <x v="3"/>
    <s v="H"/>
    <n v="1343"/>
    <s v="Janvier"/>
    <n v="13"/>
    <x v="6"/>
    <m/>
    <s v="Territorio de Chalma prope Chaputetum"/>
    <s v="Terra Petri de Monterotondo"/>
    <s v="Nemore de Chameto"/>
    <s v="Terra castri Veteri Simati"/>
    <s v="Terra Raymundoni de Flossaco domicelli quam tenet a domo Devesseti"/>
    <s v="Terra vocatorum Dens Arnautz"/>
    <m/>
    <m/>
  </r>
  <r>
    <n v="1792"/>
    <s v="Vitalis"/>
    <x v="3"/>
    <s v="H"/>
    <n v="1343"/>
    <s v="Janvier"/>
    <n v="13"/>
    <x v="4"/>
    <s v="Cumba Menusil"/>
    <m/>
    <s v="Nemore de Chameto"/>
    <s v="Prato Guilhonis de Janesto quodam rivo medio"/>
    <s v="Tenementim Dens Palheris"/>
    <m/>
    <m/>
    <m/>
    <m/>
  </r>
  <r>
    <n v="1792"/>
    <s v="Vitalis"/>
    <x v="3"/>
    <s v="H"/>
    <n v="1343"/>
    <s v="Janvier"/>
    <n v="13"/>
    <x v="9"/>
    <s v="Las Putetas"/>
    <m/>
    <m/>
    <m/>
    <m/>
    <m/>
    <m/>
    <m/>
    <m/>
  </r>
  <r>
    <n v="1801"/>
    <s v="Petrus et Armandos"/>
    <x v="3"/>
    <s v="H"/>
    <n v="1343"/>
    <s v="Janvier"/>
    <n v="13"/>
    <x v="10"/>
    <s v="Lalbespi"/>
    <m/>
    <s v="Terra castri Sancti Agrippani"/>
    <s v="Terra Margarone Asteira"/>
    <s v="Terra Peyroneti de Monte Rotondo"/>
    <m/>
    <m/>
    <m/>
    <m/>
  </r>
  <r>
    <n v="1801"/>
    <s v="Petrus et Armandos"/>
    <x v="3"/>
    <s v="H"/>
    <n v="1343"/>
    <s v="Janvier"/>
    <n v="13"/>
    <x v="11"/>
    <s v="Flac Maor"/>
    <m/>
    <s v="Terra castri Sancti Agrippani"/>
    <s v="Terra Margarone Asteira"/>
    <s v="Terra Peyroneti de Monte Rotondo"/>
    <m/>
    <m/>
    <m/>
    <m/>
  </r>
  <r>
    <n v="142"/>
    <s v="Girandus"/>
    <x v="4"/>
    <s v="H"/>
    <n v="1342"/>
    <s v="Mars"/>
    <n v="17"/>
    <x v="6"/>
    <m/>
    <m/>
    <m/>
    <m/>
    <m/>
    <m/>
    <m/>
    <m/>
    <s v="Que idem Girandus aquisivit a dicto Marco de Spaetis"/>
  </r>
  <r>
    <n v="142"/>
    <s v="Girandus"/>
    <x v="4"/>
    <s v="H"/>
    <n v="1342"/>
    <s v="Mars"/>
    <n v="17"/>
    <x v="8"/>
    <m/>
    <s v="In comitate loci de Maysonetis"/>
    <m/>
    <m/>
    <m/>
    <m/>
    <m/>
    <m/>
    <m/>
  </r>
  <r>
    <n v="142"/>
    <s v="Girandus"/>
    <x v="4"/>
    <s v="H"/>
    <n v="1342"/>
    <s v="Mars"/>
    <n v="17"/>
    <x v="12"/>
    <m/>
    <s v="In comitate loci de Maysonetis"/>
    <s v="Domui suum"/>
    <m/>
    <m/>
    <m/>
    <m/>
    <m/>
    <m/>
  </r>
  <r>
    <n v="151"/>
    <s v="Jacobus"/>
    <x v="4"/>
    <s v="H"/>
    <n v="1342"/>
    <s v="Mars"/>
    <n v="17"/>
    <x v="1"/>
    <m/>
    <s v="Sius apud Chalmariais"/>
    <m/>
    <m/>
    <m/>
    <m/>
    <m/>
    <m/>
    <m/>
  </r>
  <r>
    <n v="151"/>
    <s v="Jacobus"/>
    <x v="4"/>
    <s v="H"/>
    <n v="1342"/>
    <s v="Mars"/>
    <n v="17"/>
    <x v="13"/>
    <m/>
    <s v="Sius apud Chalmariais"/>
    <m/>
    <m/>
    <m/>
    <m/>
    <m/>
    <m/>
    <m/>
  </r>
  <r>
    <n v="151"/>
    <s v="Jacobus"/>
    <x v="4"/>
    <s v="H"/>
    <n v="1342"/>
    <s v="Mars"/>
    <n v="17"/>
    <x v="4"/>
    <m/>
    <m/>
    <m/>
    <m/>
    <m/>
    <m/>
    <m/>
    <m/>
    <s v="Quod aquisivit a Guigone La Boscha"/>
  </r>
  <r>
    <n v="151"/>
    <s v="Jacobus"/>
    <x v="4"/>
    <s v="H"/>
    <n v="1342"/>
    <s v="Mars"/>
    <n v="17"/>
    <x v="6"/>
    <m/>
    <m/>
    <m/>
    <m/>
    <m/>
    <m/>
    <m/>
    <m/>
    <s v="Quod aquisivit a Petro et Laurentio de maisonetis fratrum"/>
  </r>
  <r>
    <n v="151"/>
    <s v="Jacobus"/>
    <x v="4"/>
    <s v="H"/>
    <n v="1342"/>
    <s v="Mars"/>
    <n v="17"/>
    <x v="6"/>
    <m/>
    <s v="In comitate de Maisonetis"/>
    <m/>
    <m/>
    <m/>
    <m/>
    <m/>
    <m/>
    <m/>
  </r>
  <r>
    <n v="162"/>
    <s v="Michael"/>
    <x v="4"/>
    <s v="H"/>
    <n v="1342"/>
    <s v="Mars"/>
    <n v="18"/>
    <x v="14"/>
    <s v="Johaneta eius uxoris"/>
    <s v="Locus de Chalmariais"/>
    <s v="Territorio de Maysonetis"/>
    <s v="Terra Hominum de Chalmetis"/>
    <m/>
    <m/>
    <m/>
    <m/>
    <s v="Tres partes omnium et singulorum rerum et possessiones qua condam Johanis Martonis habebat et tenebat et possidebat in loco et territorio de Chalmariais"/>
  </r>
  <r>
    <n v="181"/>
    <s v="Johanes"/>
    <x v="4"/>
    <s v="H"/>
    <n v="1342"/>
    <s v="Mars"/>
    <n v="18"/>
    <x v="7"/>
    <m/>
    <s v="Sitam apud Chalmariais"/>
    <m/>
    <m/>
    <m/>
    <m/>
    <m/>
    <m/>
    <m/>
  </r>
  <r>
    <n v="181"/>
    <s v="Johanes"/>
    <x v="4"/>
    <s v="H"/>
    <n v="1342"/>
    <s v="Mars"/>
    <n v="18"/>
    <x v="15"/>
    <s v="Dens Cumbens"/>
    <s v="Situm in territorio de Maisonetis"/>
    <s v="Pasturalibus Jacobi Fayni"/>
    <m/>
    <m/>
    <m/>
    <m/>
    <m/>
    <s v="Circumcircam"/>
  </r>
  <r>
    <n v="181"/>
    <s v="Johanes"/>
    <x v="4"/>
    <s v="H"/>
    <n v="1342"/>
    <s v="Mars"/>
    <n v="18"/>
    <x v="16"/>
    <s v="Liberorum suorum"/>
    <m/>
    <m/>
    <m/>
    <m/>
    <m/>
    <m/>
    <m/>
    <s v="Quod condam fuerunt Petronille filie Petri Chaulent condam uxoris sua condam"/>
  </r>
  <r>
    <n v="182"/>
    <s v="Johannes"/>
    <x v="4"/>
    <s v="H"/>
    <n v="1346"/>
    <s v="Novembre"/>
    <n v="12"/>
    <x v="17"/>
    <m/>
    <m/>
    <s v="Petia Mathei Cesi"/>
    <s v="Petia Jacobi Fayni vocata de Pralont"/>
    <s v="Prato Johanis de Chalmetas"/>
    <m/>
    <m/>
    <m/>
    <m/>
  </r>
  <r>
    <n v="182"/>
    <s v="Johannes"/>
    <x v="4"/>
    <s v="H"/>
    <n v="1346"/>
    <s v="Novembre"/>
    <n v="12"/>
    <x v="18"/>
    <s v="De Fornet"/>
    <m/>
    <s v="Rialham de Forneti"/>
    <s v="Aquade Forneti"/>
    <m/>
    <m/>
    <m/>
    <m/>
    <m/>
  </r>
  <r>
    <n v="182"/>
    <s v="Johannes"/>
    <x v="4"/>
    <s v="H"/>
    <n v="1346"/>
    <s v="Novembre"/>
    <n v="12"/>
    <x v="15"/>
    <s v="De Laboseta"/>
    <m/>
    <m/>
    <m/>
    <m/>
    <m/>
    <m/>
    <m/>
    <m/>
  </r>
  <r>
    <n v="191"/>
    <s v="Johaneta"/>
    <x v="4"/>
    <s v="F"/>
    <n v="1342"/>
    <s v="Mars"/>
    <n v="18"/>
    <x v="7"/>
    <m/>
    <s v="Sitam apud Chalmariais"/>
    <m/>
    <m/>
    <m/>
    <m/>
    <m/>
    <m/>
    <m/>
  </r>
  <r>
    <n v="191"/>
    <s v="Johaneta"/>
    <x v="4"/>
    <s v="F"/>
    <n v="1342"/>
    <s v="Mars"/>
    <n v="18"/>
    <x v="2"/>
    <m/>
    <m/>
    <s v="Domum suum"/>
    <s v="Patili de Chalmariais"/>
    <m/>
    <m/>
    <m/>
    <m/>
    <m/>
  </r>
  <r>
    <n v="201"/>
    <s v="Jacobus"/>
    <x v="4"/>
    <s v="H"/>
    <n v="1342"/>
    <s v="Mars"/>
    <n v="18"/>
    <x v="7"/>
    <m/>
    <s v="Sitas in loco de Chalmariais"/>
    <m/>
    <m/>
    <m/>
    <m/>
    <m/>
    <m/>
    <m/>
  </r>
  <r>
    <n v="201"/>
    <s v="Jacobus"/>
    <x v="4"/>
    <s v="H"/>
    <n v="1342"/>
    <s v="Mars"/>
    <n v="18"/>
    <x v="13"/>
    <m/>
    <s v="Sitas in loco de Chalmariais"/>
    <m/>
    <m/>
    <m/>
    <m/>
    <m/>
    <m/>
    <m/>
  </r>
  <r>
    <n v="201"/>
    <s v="Jacobus"/>
    <x v="4"/>
    <s v="H"/>
    <n v="1342"/>
    <s v="Mars"/>
    <n v="18"/>
    <x v="4"/>
    <m/>
    <s v="Situm in loco seu territorio de Maisonetis"/>
    <s v="Prato Petri de Prim"/>
    <s v="Terra Dens Verilhas"/>
    <m/>
    <m/>
    <m/>
    <m/>
    <m/>
  </r>
  <r>
    <n v="201"/>
    <s v="Jacobus"/>
    <x v="4"/>
    <s v="H"/>
    <n v="1342"/>
    <s v="Mars"/>
    <n v="18"/>
    <x v="3"/>
    <s v="De Calma"/>
    <m/>
    <m/>
    <m/>
    <m/>
    <m/>
    <m/>
    <m/>
    <s v="Quam aquisivit a Thoma eius fratre"/>
  </r>
  <r>
    <n v="211"/>
    <s v="Laurens"/>
    <x v="4"/>
    <s v="H"/>
    <n v="1342"/>
    <s v="Mars"/>
    <n v="18"/>
    <x v="7"/>
    <m/>
    <s v="Sitam apud Chalmariais"/>
    <m/>
    <m/>
    <m/>
    <m/>
    <m/>
    <m/>
    <m/>
  </r>
  <r>
    <n v="211"/>
    <s v="Laurens"/>
    <x v="4"/>
    <s v="H"/>
    <n v="1342"/>
    <s v="Mars"/>
    <n v="18"/>
    <x v="2"/>
    <m/>
    <s v="Sitam in loco de Chalmariais"/>
    <m/>
    <m/>
    <m/>
    <m/>
    <m/>
    <m/>
    <m/>
  </r>
  <r>
    <n v="211"/>
    <s v="Laurens"/>
    <x v="4"/>
    <s v="H"/>
    <n v="1342"/>
    <s v="Mars"/>
    <n v="18"/>
    <x v="19"/>
    <m/>
    <s v="Sitas in comitate"/>
    <s v="Terra Dens Pontetz"/>
    <s v="Prato Jacobi Fayni"/>
    <m/>
    <m/>
    <m/>
    <m/>
    <s v="Quod assenssate sunt per eiusdem"/>
  </r>
  <r>
    <n v="211"/>
    <s v="Laurens"/>
    <x v="4"/>
    <s v="H"/>
    <n v="1342"/>
    <s v="Mars"/>
    <n v="18"/>
    <x v="7"/>
    <s v="Johanete Penarde, nepote uxoris eius filii"/>
    <s v="Sitas apud Chalmariais"/>
    <m/>
    <m/>
    <m/>
    <m/>
    <m/>
    <m/>
    <m/>
  </r>
  <r>
    <n v="211"/>
    <s v="Laurens"/>
    <x v="4"/>
    <s v="H"/>
    <n v="1342"/>
    <s v="Mars"/>
    <n v="18"/>
    <x v="20"/>
    <m/>
    <s v="Omnia sita sunt in territorio de Chalmariais"/>
    <m/>
    <m/>
    <m/>
    <m/>
    <m/>
    <m/>
    <s v="Que condam fuerunt dicte Johanete Penarde condam"/>
  </r>
  <r>
    <n v="221"/>
    <s v="Thomas"/>
    <x v="4"/>
    <s v="H"/>
    <n v="1342"/>
    <s v="Mars"/>
    <n v="18"/>
    <x v="7"/>
    <m/>
    <s v="Sitam apud Chalmariais"/>
    <m/>
    <m/>
    <m/>
    <m/>
    <m/>
    <m/>
    <m/>
  </r>
  <r>
    <n v="221"/>
    <s v="Thomas"/>
    <x v="4"/>
    <s v="H"/>
    <n v="1342"/>
    <s v="Mars"/>
    <n v="18"/>
    <x v="4"/>
    <m/>
    <s v="Situm in comitate de Maisonetis"/>
    <s v="Pratum Jacobi Chambonat"/>
    <m/>
    <m/>
    <m/>
    <m/>
    <m/>
    <m/>
  </r>
  <r>
    <n v="221"/>
    <s v="Thomas"/>
    <x v="4"/>
    <s v="H"/>
    <n v="1342"/>
    <s v="Mars"/>
    <n v="18"/>
    <x v="7"/>
    <s v="Johannete eius uxoris"/>
    <s v="Sitam apud Chalmariais"/>
    <m/>
    <m/>
    <m/>
    <m/>
    <m/>
    <m/>
    <m/>
  </r>
  <r>
    <n v="221"/>
    <s v="Thomas"/>
    <x v="4"/>
    <s v="H"/>
    <n v="1342"/>
    <s v="Mars"/>
    <n v="18"/>
    <x v="21"/>
    <s v="Johannete eius uxoris"/>
    <s v="In loco et territorio de Chalmariais"/>
    <m/>
    <m/>
    <m/>
    <m/>
    <m/>
    <m/>
    <m/>
  </r>
  <r>
    <n v="261"/>
    <s v="Guiloneta"/>
    <x v="4"/>
    <s v="F"/>
    <n v="1343"/>
    <s v="Mars"/>
    <n v="31"/>
    <x v="22"/>
    <s v="Laolh et Onchis de Novo"/>
    <m/>
    <m/>
    <m/>
    <m/>
    <m/>
    <m/>
    <m/>
    <m/>
  </r>
  <r>
    <n v="271"/>
    <s v="Johanes"/>
    <x v="5"/>
    <s v="H"/>
    <n v="1343"/>
    <s v="Avril"/>
    <n v="2"/>
    <x v="23"/>
    <s v="Sancto Anthonio"/>
    <m/>
    <m/>
    <m/>
    <m/>
    <m/>
    <m/>
    <m/>
    <m/>
  </r>
  <r>
    <n v="281"/>
    <s v="Fransons"/>
    <x v="5"/>
    <s v="H"/>
    <n v="1343"/>
    <s v="Avril"/>
    <n v="3"/>
    <x v="22"/>
    <m/>
    <s v="Chalamariais"/>
    <s v="Petia Girandi Fayni"/>
    <s v="Terra Chome Chambonant"/>
    <m/>
    <m/>
    <m/>
    <m/>
    <s v="Non est diu assensate pro ipsum"/>
  </r>
  <r>
    <n v="281"/>
    <s v="Fransons"/>
    <x v="5"/>
    <s v="H"/>
    <n v="1343"/>
    <s v="Avril"/>
    <n v="3"/>
    <x v="23"/>
    <m/>
    <m/>
    <m/>
    <m/>
    <m/>
    <m/>
    <m/>
    <m/>
    <s v="Olim aquisit Amarco de Chalmariais"/>
  </r>
  <r>
    <n v="291"/>
    <s v="Peyros"/>
    <x v="5"/>
    <s v="H"/>
    <n v="1343"/>
    <s v="Avril"/>
    <n v="3"/>
    <x v="24"/>
    <m/>
    <m/>
    <m/>
    <m/>
    <m/>
    <m/>
    <m/>
    <m/>
    <s v="Aquisit a jacmeta de Sancto Anthonio"/>
  </r>
  <r>
    <n v="1601"/>
    <s v="Poncius"/>
    <x v="5"/>
    <s v="H"/>
    <n v="1342"/>
    <s v="Février"/>
    <n v="20"/>
    <x v="8"/>
    <s v="De la Fanassa"/>
    <m/>
    <s v="Terra Bertrandi de Chalmetas"/>
    <s v="Terra Jacobi Beuni eius neptus"/>
    <m/>
    <m/>
    <m/>
    <m/>
    <m/>
  </r>
  <r>
    <n v="1601"/>
    <s v="Poncius"/>
    <x v="5"/>
    <s v="H"/>
    <n v="1342"/>
    <s v="Février"/>
    <n v="20"/>
    <x v="4"/>
    <s v="Las Chabanas"/>
    <m/>
    <s v="Prato Poncii Brunii de Sanha Clausa"/>
    <s v="Petia Bertrandi Brunii"/>
    <m/>
    <m/>
    <m/>
    <m/>
    <m/>
  </r>
  <r>
    <n v="1601"/>
    <s v="Poncius"/>
    <x v="5"/>
    <s v="H"/>
    <n v="1342"/>
    <s v="Février"/>
    <n v="20"/>
    <x v="15"/>
    <s v="Las Chabanas"/>
    <m/>
    <s v="Prato Poncii Brunii de Sanha Clausa"/>
    <s v="Petia Bertrandi Brunii"/>
    <m/>
    <m/>
    <m/>
    <m/>
    <m/>
  </r>
  <r>
    <n v="1601"/>
    <s v="Poncius"/>
    <x v="5"/>
    <s v="H"/>
    <n v="1342"/>
    <s v="Février"/>
    <n v="20"/>
    <x v="8"/>
    <s v="Nemore de Cumba Neira"/>
    <m/>
    <s v="Terra et nemore Bertrandi Bruni"/>
    <m/>
    <m/>
    <m/>
    <m/>
    <m/>
    <m/>
  </r>
  <r>
    <n v="1601"/>
    <s v="Poncius"/>
    <x v="5"/>
    <s v="H"/>
    <n v="1342"/>
    <s v="Février"/>
    <n v="20"/>
    <x v="8"/>
    <s v="La Platina"/>
    <m/>
    <s v="Terra Magistri Guillermi Ariberui"/>
    <s v="Terra Magistri Guillermi Ariberui"/>
    <m/>
    <m/>
    <m/>
    <m/>
    <m/>
  </r>
  <r>
    <n v="1601"/>
    <s v="Poncius"/>
    <x v="5"/>
    <s v="H"/>
    <n v="1342"/>
    <s v="Février"/>
    <n v="20"/>
    <x v="4"/>
    <s v="La Platina"/>
    <m/>
    <s v="Terra Magistri Guillermi Ariberui"/>
    <s v="Terra Magistri Guillermi Ariberui"/>
    <m/>
    <m/>
    <m/>
    <m/>
    <m/>
  </r>
  <r>
    <n v="1601"/>
    <s v="Poncius"/>
    <x v="5"/>
    <s v="H"/>
    <n v="1342"/>
    <s v="Février"/>
    <n v="20"/>
    <x v="8"/>
    <s v="La Costa del Roure"/>
    <s v="Prope del Lancel"/>
    <s v="Terra Michaelis Rocbandi"/>
    <s v="Terra Jacobi Raspant"/>
    <m/>
    <m/>
    <m/>
    <m/>
    <m/>
  </r>
  <r>
    <n v="1601"/>
    <s v="Poncius"/>
    <x v="5"/>
    <s v="H"/>
    <n v="1342"/>
    <s v="Février"/>
    <n v="20"/>
    <x v="25"/>
    <s v="Calmibar Deschas"/>
    <m/>
    <m/>
    <m/>
    <m/>
    <m/>
    <m/>
    <m/>
    <m/>
  </r>
  <r>
    <n v="1601"/>
    <s v="Poncius"/>
    <x v="5"/>
    <s v="H"/>
    <n v="1342"/>
    <s v="Février"/>
    <n v="20"/>
    <x v="26"/>
    <s v="Las Chabanas"/>
    <m/>
    <m/>
    <m/>
    <m/>
    <m/>
    <m/>
    <m/>
    <m/>
  </r>
  <r>
    <n v="1601"/>
    <s v="Poncius"/>
    <x v="5"/>
    <s v="H"/>
    <n v="1342"/>
    <s v="Février"/>
    <n v="20"/>
    <x v="27"/>
    <s v="Socheria"/>
    <m/>
    <m/>
    <m/>
    <m/>
    <m/>
    <m/>
    <m/>
    <m/>
  </r>
  <r>
    <n v="1601"/>
    <s v="Poncius"/>
    <x v="5"/>
    <s v="H"/>
    <n v="1342"/>
    <s v="Février"/>
    <n v="20"/>
    <x v="28"/>
    <s v="De supra Carienam"/>
    <m/>
    <m/>
    <m/>
    <m/>
    <m/>
    <m/>
    <m/>
    <m/>
  </r>
  <r>
    <n v="1601"/>
    <s v="Poncius"/>
    <x v="5"/>
    <s v="H"/>
    <n v="1342"/>
    <s v="Février"/>
    <n v="20"/>
    <x v="8"/>
    <s v="Del Suchet"/>
    <m/>
    <m/>
    <m/>
    <m/>
    <m/>
    <m/>
    <m/>
    <s v="Qui fuit condam Johannis Relha"/>
  </r>
  <r>
    <n v="1601"/>
    <s v="Poncius"/>
    <x v="5"/>
    <s v="H"/>
    <n v="1342"/>
    <s v="Février"/>
    <n v="20"/>
    <x v="29"/>
    <s v="Dens Ortforas"/>
    <m/>
    <m/>
    <m/>
    <m/>
    <m/>
    <m/>
    <m/>
    <s v="Qui fuit condam Johannis Relha"/>
  </r>
  <r>
    <n v="1741"/>
    <s v="Poncius et Petronilla"/>
    <x v="5"/>
    <s v="H"/>
    <n v="1343"/>
    <m/>
    <s v="Die Jonis post festum iunentionis sancte crucis"/>
    <x v="0"/>
    <m/>
    <s v="Sitam almas de Vontoreir"/>
    <s v="Terra nobilis Raymundi de Sanna"/>
    <m/>
    <m/>
    <m/>
    <m/>
    <m/>
    <m/>
  </r>
  <r>
    <n v="1741"/>
    <s v="Poncius et Petronilla"/>
    <x v="5"/>
    <s v="H"/>
    <n v="1343"/>
    <m/>
    <s v="Die Jonis post festum iunentionis sancte crucis"/>
    <x v="3"/>
    <m/>
    <s v="Sitam apud Ruppem de Luyssac"/>
    <s v="Alma meiana"/>
    <s v="Terra Michaelis Rotbandi"/>
    <m/>
    <m/>
    <m/>
    <m/>
    <m/>
  </r>
  <r>
    <n v="1741"/>
    <s v="Poncius et Petronilla"/>
    <x v="5"/>
    <s v="H"/>
    <n v="1343"/>
    <m/>
    <s v="Die Jonis post festum iunentionis sancte crucis"/>
    <x v="3"/>
    <m/>
    <s v="Sitam in costa vocata del Rome"/>
    <s v="Nemore del Lancel"/>
    <s v="Terra Blache de Chapella"/>
    <m/>
    <m/>
    <m/>
    <m/>
    <m/>
  </r>
  <r>
    <n v="1741"/>
    <s v="Poncius et Petronilla"/>
    <x v="5"/>
    <s v="H"/>
    <n v="1343"/>
    <m/>
    <s v="Die Jonis post festum iunentionis sancte crucis"/>
    <x v="3"/>
    <m/>
    <s v="Sitam in ouchia de la Fayceta"/>
    <s v="Carreria de Chalmetis"/>
    <m/>
    <m/>
    <m/>
    <m/>
    <m/>
    <m/>
  </r>
  <r>
    <n v="1741"/>
    <s v="Poncius et Petronilla"/>
    <x v="5"/>
    <s v="H"/>
    <n v="1343"/>
    <m/>
    <s v="Die Jonis post festum iunentionis sancte crucis"/>
    <x v="4"/>
    <m/>
    <s v="Situm apud Las Chabanas"/>
    <s v="Calma qui est supra locum de Chalmetis"/>
    <s v="Terra nobilis Raymundi de Sanna"/>
    <m/>
    <m/>
    <m/>
    <m/>
    <m/>
  </r>
  <r>
    <n v="1741"/>
    <s v="Poncius et Petronilla"/>
    <x v="5"/>
    <s v="H"/>
    <n v="1343"/>
    <m/>
    <s v="Die Jonis post festum iunentionis sancte crucis"/>
    <x v="0"/>
    <s v="Del Clauzel"/>
    <m/>
    <s v="Terra nobilis Raymundi de Sanna"/>
    <s v="Terra nobilis Raymundi de Sanna"/>
    <m/>
    <m/>
    <m/>
    <m/>
    <m/>
  </r>
  <r>
    <n v="1741"/>
    <s v="Poncius et Petronilla"/>
    <x v="5"/>
    <s v="H"/>
    <n v="1343"/>
    <m/>
    <s v="Die Jonis post festum iunentionis sancte crucis"/>
    <x v="3"/>
    <s v="La Rialha"/>
    <m/>
    <s v="Terra Raymundi de Chalmetas"/>
    <m/>
    <m/>
    <m/>
    <m/>
    <m/>
    <m/>
  </r>
  <r>
    <n v="1741"/>
    <s v="Poncius et Petronilla"/>
    <x v="5"/>
    <s v="H"/>
    <n v="1343"/>
    <m/>
    <s v="Die Jonis post festum iunentionis sancte crucis"/>
    <x v="3"/>
    <s v="D'Ameac"/>
    <m/>
    <s v="Petiam Armandi Ariberii"/>
    <s v="Petia Guillermi Ariberii notarii"/>
    <m/>
    <m/>
    <m/>
    <m/>
    <m/>
  </r>
  <r>
    <n v="1741"/>
    <s v="Poncius et Petronilla"/>
    <x v="5"/>
    <s v="H"/>
    <n v="1343"/>
    <m/>
    <s v="Die Jonis post festum iunentionis sancte crucis"/>
    <x v="30"/>
    <s v="Cumlanbar Deschas"/>
    <m/>
    <s v="Itinere publico per quod itur de Raschassac versus Sactum Agrippanum"/>
    <s v="Garaytis nobilis Raymundi de Sanna"/>
    <m/>
    <m/>
    <m/>
    <m/>
    <m/>
  </r>
  <r>
    <n v="1741"/>
    <s v="Poncius et Petronilla"/>
    <x v="5"/>
    <s v="H"/>
    <n v="1343"/>
    <m/>
    <s v="Die Jonis post festum iunentionis sancte crucis"/>
    <x v="31"/>
    <m/>
    <s v="Supra Chalmetas"/>
    <s v="Pratis de Las Chabanas"/>
    <s v="Calma qui tenetur a duorum Sancti Agrippani"/>
    <m/>
    <m/>
    <m/>
    <m/>
    <m/>
  </r>
  <r>
    <n v="1741"/>
    <s v="Poncius et Petronilla"/>
    <x v="5"/>
    <s v="H"/>
    <n v="1343"/>
    <m/>
    <s v="Die Jonis post festum iunentionis sancte crucis"/>
    <x v="32"/>
    <m/>
    <s v="Site apud la Sucharia"/>
    <m/>
    <m/>
    <m/>
    <m/>
    <m/>
    <m/>
    <m/>
  </r>
  <r>
    <n v="1741"/>
    <s v="Poncius et Petronilla"/>
    <x v="5"/>
    <s v="H"/>
    <n v="1343"/>
    <m/>
    <s v="Die Jonis post festum iunentionis sancte crucis"/>
    <x v="33"/>
    <m/>
    <s v="Situm in Cumba Negra"/>
    <s v="Nemore Ariberuorum"/>
    <m/>
    <m/>
    <m/>
    <m/>
    <m/>
    <m/>
  </r>
  <r>
    <n v="1791"/>
    <s v="Johannes"/>
    <x v="6"/>
    <s v="H"/>
    <n v="1343"/>
    <s v="Janvier"/>
    <n v="7"/>
    <x v="22"/>
    <m/>
    <s v="Sita in territorio vocato del Lans"/>
    <s v="Terra Vitalis Sanhas"/>
    <s v="Terra Ponci Brunii"/>
    <m/>
    <m/>
    <m/>
    <m/>
    <m/>
  </r>
  <r>
    <n v="1791"/>
    <s v="Johannes"/>
    <x v="6"/>
    <s v="H"/>
    <n v="1343"/>
    <s v="Janvier"/>
    <n v="7"/>
    <x v="4"/>
    <s v="Del Lans"/>
    <m/>
    <s v="Petiit sui"/>
    <s v="Prato Vitalis Sanhas"/>
    <m/>
    <m/>
    <m/>
    <m/>
    <m/>
  </r>
  <r>
    <n v="1791"/>
    <s v="Johannes"/>
    <x v="6"/>
    <s v="H"/>
    <n v="1343"/>
    <s v="Janvier"/>
    <n v="7"/>
    <x v="4"/>
    <s v="Las Chabanas"/>
    <m/>
    <s v="Prato Vitalis Sanhas"/>
    <s v="Prato Ponci Brunii"/>
    <m/>
    <m/>
    <m/>
    <m/>
    <m/>
  </r>
  <r>
    <n v="1791"/>
    <s v="Johannes"/>
    <x v="6"/>
    <s v="H"/>
    <n v="1343"/>
    <s v="Janvier"/>
    <n v="7"/>
    <x v="3"/>
    <s v="La Fanassa"/>
    <m/>
    <s v="Petiam Vitalis Sanhas"/>
    <s v="Terra Ponci Brunii"/>
    <m/>
    <m/>
    <m/>
    <m/>
    <m/>
  </r>
  <r>
    <n v="1791"/>
    <s v="Johannes"/>
    <x v="6"/>
    <s v="H"/>
    <n v="1343"/>
    <s v="Janvier"/>
    <n v="7"/>
    <x v="33"/>
    <s v="Cumba Nigra"/>
    <m/>
    <s v="Terra Vitalis Sanhas"/>
    <s v="Nemoribus Bertrandi et Poncii Brunii"/>
    <m/>
    <m/>
    <m/>
    <m/>
    <m/>
  </r>
  <r>
    <n v="1141"/>
    <s v="Thomas"/>
    <x v="7"/>
    <s v="H"/>
    <n v="1343"/>
    <s v="Octobre"/>
    <n v="13"/>
    <x v="4"/>
    <m/>
    <s v="Situm in territorio de Chanclausa"/>
    <s v="Prato curati de Chanclausa"/>
    <s v="Prato Petri Amati de Chanclausa"/>
    <m/>
    <m/>
    <m/>
    <m/>
    <m/>
  </r>
  <r>
    <n v="721"/>
    <s v="Petrus"/>
    <x v="8"/>
    <s v="H"/>
    <n v="1343"/>
    <s v="Mai"/>
    <n v="13"/>
    <x v="7"/>
    <m/>
    <s v="Sitam apud Chanclausa"/>
    <s v="Terra ecclesie de Chanclausa"/>
    <s v="Orto suo"/>
    <m/>
    <m/>
    <m/>
    <m/>
    <m/>
  </r>
  <r>
    <n v="721"/>
    <s v="Petrus"/>
    <x v="8"/>
    <s v="H"/>
    <n v="1343"/>
    <s v="Mai"/>
    <n v="13"/>
    <x v="24"/>
    <s v="Dens Sauretz"/>
    <m/>
    <s v="Pratis curati de Chanclausa"/>
    <s v="Pratis Dens Sermens de Champanhac"/>
    <m/>
    <m/>
    <m/>
    <m/>
    <s v="Quod pratum tenent dicti lisermenti a dicta domo"/>
  </r>
  <r>
    <n v="721"/>
    <s v="Petrus"/>
    <x v="8"/>
    <s v="H"/>
    <n v="1343"/>
    <s v="Mai"/>
    <n v="13"/>
    <x v="4"/>
    <m/>
    <m/>
    <s v="Terra ecclesie de Chanclausa"/>
    <m/>
    <m/>
    <m/>
    <m/>
    <m/>
    <s v="Circumcirca"/>
  </r>
  <r>
    <n v="721"/>
    <s v="Petrus"/>
    <x v="8"/>
    <s v="H"/>
    <n v="1343"/>
    <s v="Mai"/>
    <n v="13"/>
    <x v="12"/>
    <s v="De Bonofonte"/>
    <m/>
    <s v="Sanha Petri del Chiev"/>
    <s v="Via qua itur d'Orba versus Chanchauza"/>
    <m/>
    <m/>
    <m/>
    <m/>
    <m/>
  </r>
  <r>
    <n v="731"/>
    <s v="Petrus"/>
    <x v="8"/>
    <s v="H"/>
    <n v="1343"/>
    <s v="Mai"/>
    <n v="13"/>
    <x v="0"/>
    <s v="Eius Uxoris"/>
    <m/>
    <s v="Prato Jacobi de Molendino"/>
    <s v="Terra Jacobi Pelacueir"/>
    <s v="Terra de Clanclausa"/>
    <m/>
    <m/>
    <m/>
    <m/>
  </r>
  <r>
    <n v="731"/>
    <s v="Petrus"/>
    <x v="8"/>
    <s v="H"/>
    <n v="1343"/>
    <s v="Mai"/>
    <n v="13"/>
    <x v="15"/>
    <s v="Del Clauste"/>
    <m/>
    <s v="Petia de Laneiria"/>
    <m/>
    <m/>
    <m/>
    <m/>
    <m/>
    <m/>
  </r>
  <r>
    <n v="741"/>
    <s v="Guillermus"/>
    <x v="8"/>
    <s v="H"/>
    <n v="1343"/>
    <s v="Mai"/>
    <n v="13"/>
    <x v="4"/>
    <s v="Del Clauzet"/>
    <s v="Apud Chanclausa"/>
    <s v="Petia de la gleysa de Chanclausa"/>
    <s v="Campo lavenia ecclesia de Chanclausa"/>
    <m/>
    <m/>
    <m/>
    <m/>
    <m/>
  </r>
  <r>
    <n v="741"/>
    <s v="Guillermus"/>
    <x v="8"/>
    <s v="H"/>
    <n v="1343"/>
    <s v="Mai"/>
    <n v="13"/>
    <x v="15"/>
    <s v="De Ladaniela"/>
    <m/>
    <s v="Esclausa malendium de Chanclausa"/>
    <s v="Pasturale Johanis Ansel"/>
    <m/>
    <m/>
    <m/>
    <m/>
    <m/>
  </r>
  <r>
    <n v="741"/>
    <s v="Guillermus"/>
    <x v="8"/>
    <s v="H"/>
    <n v="1343"/>
    <s v="Mai"/>
    <n v="13"/>
    <x v="4"/>
    <s v="Del Claus"/>
    <m/>
    <s v="Itinere quo itur de Ponte Dorba versus Anicium"/>
    <s v="Prato Brolerit Jacobi del Moli et de Boyro"/>
    <m/>
    <m/>
    <m/>
    <m/>
    <m/>
  </r>
  <r>
    <n v="741"/>
    <s v="Guillermus"/>
    <x v="8"/>
    <s v="H"/>
    <n v="1343"/>
    <s v="Mai"/>
    <n v="13"/>
    <x v="34"/>
    <m/>
    <s v="Situs in territorio de Chanclausa"/>
    <s v="Prato del Clauset qui fuit de Chanclausa olim"/>
    <s v="Terra ecclesie de Chanclausa"/>
    <m/>
    <m/>
    <m/>
    <m/>
    <m/>
  </r>
  <r>
    <n v="741"/>
    <s v="Guillermus"/>
    <x v="8"/>
    <s v="H"/>
    <n v="1343"/>
    <s v="Mai"/>
    <n v="13"/>
    <x v="4"/>
    <m/>
    <s v="A Chanclauso olim"/>
    <m/>
    <m/>
    <m/>
    <m/>
    <m/>
    <m/>
    <m/>
  </r>
  <r>
    <n v="742"/>
    <s v="Guillermus"/>
    <x v="8"/>
    <s v="H"/>
    <n v="1343"/>
    <s v="Février"/>
    <n v="23"/>
    <x v="4"/>
    <m/>
    <s v="Apud Chanclausa in manso del Brolerit"/>
    <s v="Itur de Font Moreta versis Aniciensis"/>
    <s v="Prato Guillermi Boyrois"/>
    <s v="Pratus Johanis Pelatim"/>
    <m/>
    <m/>
    <m/>
    <s v="Quod pratum aquisivit a Jacobo Pelacur"/>
  </r>
  <r>
    <n v="743"/>
    <s v="Aliza"/>
    <x v="8"/>
    <s v="H"/>
    <n v="1343"/>
    <s v="Février"/>
    <n v="23"/>
    <x v="7"/>
    <m/>
    <s v="Apud Chanclausa in prato de Clauseto"/>
    <s v="Prato del Claustet"/>
    <m/>
    <m/>
    <m/>
    <m/>
    <m/>
    <s v="Circumcirca"/>
  </r>
  <r>
    <n v="751"/>
    <s v="Jacobus"/>
    <x v="8"/>
    <s v="H"/>
    <n v="1343"/>
    <s v="Mai"/>
    <n v="13"/>
    <x v="3"/>
    <s v="Del Reondet"/>
    <s v="Apud Chanclausa"/>
    <s v="Prato del Clauset"/>
    <s v="Prato del Brolent"/>
    <m/>
    <m/>
    <m/>
    <m/>
    <m/>
  </r>
  <r>
    <n v="751"/>
    <s v="Jacobus"/>
    <x v="8"/>
    <s v="H"/>
    <n v="1343"/>
    <s v="Mai"/>
    <n v="13"/>
    <x v="4"/>
    <s v="Del Brolhono"/>
    <m/>
    <s v="Petia suam del Reondet"/>
    <s v="Prato Del Claus"/>
    <s v="Prato Guillermi Beyronis"/>
    <m/>
    <m/>
    <m/>
    <m/>
  </r>
  <r>
    <n v="751"/>
    <s v="Jacobus"/>
    <x v="8"/>
    <s v="H"/>
    <n v="1343"/>
    <s v="Mai"/>
    <n v="13"/>
    <x v="3"/>
    <s v="Del Pomeir sive Del Champ"/>
    <m/>
    <s v="Versana Jacobi et Johanis Pelacuer"/>
    <s v="Via qua itur de initere publico versus ecclesiam de Chanclauza"/>
    <m/>
    <m/>
    <m/>
    <m/>
    <s v="Cum Sanhatz in medio"/>
  </r>
  <r>
    <n v="751"/>
    <s v="Jacobus"/>
    <x v="8"/>
    <s v="H"/>
    <n v="1343"/>
    <s v="Mai"/>
    <n v="13"/>
    <x v="0"/>
    <s v="Bonofonte"/>
    <m/>
    <s v="Petia Jacobi Chanclauzo"/>
    <s v="Petia terre Guillermi Boyro"/>
    <m/>
    <m/>
    <m/>
    <m/>
    <m/>
  </r>
  <r>
    <n v="751"/>
    <s v="Jacobus"/>
    <x v="8"/>
    <s v="H"/>
    <n v="1343"/>
    <s v="Mai"/>
    <n v="13"/>
    <x v="15"/>
    <s v="Del Pomen"/>
    <m/>
    <s v="Prato del Brolhet Johanis Pelacuer quadam via media"/>
    <s v="Prato de Ladaniel de Pelacuer"/>
    <m/>
    <m/>
    <m/>
    <m/>
    <m/>
  </r>
  <r>
    <n v="751"/>
    <s v="Jacobus"/>
    <x v="8"/>
    <s v="H"/>
    <n v="1343"/>
    <s v="Mai"/>
    <n v="13"/>
    <x v="4"/>
    <s v="De Ladaniela"/>
    <m/>
    <s v="Prato Guillermi Bayro vocatum de Ladaniela"/>
    <s v="Prato Jacobi Chanclausa"/>
    <m/>
    <m/>
    <m/>
    <m/>
    <m/>
  </r>
  <r>
    <n v="751"/>
    <s v="Jacobus"/>
    <x v="8"/>
    <s v="H"/>
    <n v="1343"/>
    <s v="Mai"/>
    <n v="13"/>
    <x v="2"/>
    <s v="De Ladaniela"/>
    <m/>
    <s v="Orto de Bayro"/>
    <m/>
    <m/>
    <m/>
    <m/>
    <m/>
    <m/>
  </r>
  <r>
    <n v="751"/>
    <s v="Jacobus"/>
    <x v="8"/>
    <s v="H"/>
    <n v="1343"/>
    <s v="Mai"/>
    <n v="13"/>
    <x v="15"/>
    <s v="De Ladaniela"/>
    <m/>
    <s v="Pasturalibus de Pelacuer"/>
    <m/>
    <m/>
    <m/>
    <m/>
    <m/>
    <m/>
  </r>
  <r>
    <n v="751"/>
    <s v="Jacobus"/>
    <x v="8"/>
    <s v="H"/>
    <n v="1343"/>
    <s v="Mai"/>
    <n v="13"/>
    <x v="3"/>
    <s v="De Turacul"/>
    <m/>
    <s v="Pasturale Dens Sauretz"/>
    <s v="Pasturale Dens Pelacuers"/>
    <m/>
    <m/>
    <m/>
    <m/>
    <s v="Et una sanatz"/>
  </r>
  <r>
    <n v="751"/>
    <s v="Jacobus"/>
    <x v="8"/>
    <s v="H"/>
    <n v="1343"/>
    <s v="Mai"/>
    <n v="13"/>
    <x v="35"/>
    <s v="De Molendino"/>
    <m/>
    <m/>
    <m/>
    <m/>
    <m/>
    <m/>
    <m/>
    <m/>
  </r>
  <r>
    <n v="791"/>
    <s v="Staphanis"/>
    <x v="8"/>
    <s v="H"/>
    <n v="1343"/>
    <s v="Mai"/>
    <n v="20"/>
    <x v="4"/>
    <s v="Del Clauset"/>
    <s v="Situm apud Chanclausa"/>
    <s v="Terra ecclesie de Chanclausa"/>
    <s v="Terra ecclesie de Chanclausa"/>
    <s v="Terra Vitalis de Ponte"/>
    <s v="Prato Johanis de Ponte sive Borola"/>
    <m/>
    <m/>
    <m/>
  </r>
  <r>
    <n v="792"/>
    <s v="Johanes"/>
    <x v="8"/>
    <s v="H"/>
    <n v="1343"/>
    <s v="Mai"/>
    <n v="24"/>
    <x v="3"/>
    <s v="De la Versana"/>
    <s v="Sita in Manso de Ladaniela"/>
    <s v="Petia Jacobi Pelatiner"/>
    <s v="Pasturale Dens Pastoros"/>
    <m/>
    <m/>
    <m/>
    <m/>
    <m/>
  </r>
  <r>
    <n v="792"/>
    <s v="Johanes"/>
    <x v="8"/>
    <s v="H"/>
    <n v="1343"/>
    <s v="Mai"/>
    <n v="24"/>
    <x v="3"/>
    <s v="De Bono Fonte"/>
    <m/>
    <s v="Petia Jacobi Del Moli"/>
    <s v="Petia vocati lo Champ Lavenia"/>
    <s v="Prato Del Clauset"/>
    <m/>
    <m/>
    <m/>
    <m/>
  </r>
  <r>
    <n v="792"/>
    <s v="Johanes"/>
    <x v="8"/>
    <s v="H"/>
    <n v="1343"/>
    <s v="Mai"/>
    <n v="24"/>
    <x v="3"/>
    <s v="De Ciracul"/>
    <m/>
    <s v="Petia Dens Pastoros"/>
    <s v="Petia Jacobi Del Moli"/>
    <m/>
    <m/>
    <m/>
    <m/>
    <m/>
  </r>
  <r>
    <n v="792"/>
    <s v="Johanes"/>
    <x v="8"/>
    <s v="H"/>
    <n v="1343"/>
    <s v="Mai"/>
    <n v="24"/>
    <x v="4"/>
    <s v="De Lamela"/>
    <m/>
    <s v="Prato Johanis Antelli"/>
    <s v="Prato Johanis Pelacuer"/>
    <m/>
    <m/>
    <m/>
    <m/>
    <m/>
  </r>
  <r>
    <n v="792"/>
    <s v="Johanes"/>
    <x v="8"/>
    <s v="H"/>
    <n v="1343"/>
    <s v="Mai"/>
    <n v="24"/>
    <x v="15"/>
    <m/>
    <m/>
    <s v="Pratum de Lamela"/>
    <m/>
    <m/>
    <m/>
    <m/>
    <m/>
    <m/>
  </r>
  <r>
    <n v="792"/>
    <s v="Johanes"/>
    <x v="8"/>
    <s v="H"/>
    <n v="1343"/>
    <s v="Mai"/>
    <n v="24"/>
    <x v="4"/>
    <s v="Del Pomen"/>
    <m/>
    <s v="Petia vocati Bayro"/>
    <s v="Pasturali dicti Bayronis"/>
    <m/>
    <m/>
    <m/>
    <m/>
    <m/>
  </r>
  <r>
    <n v="792"/>
    <s v="Johanes"/>
    <x v="8"/>
    <s v="H"/>
    <n v="1343"/>
    <s v="Mai"/>
    <n v="24"/>
    <x v="4"/>
    <s v="Del Brolhent"/>
    <m/>
    <s v="Prato Vitalis de Ponte"/>
    <s v="Prato Molendino"/>
    <m/>
    <m/>
    <m/>
    <m/>
    <m/>
  </r>
  <r>
    <n v="792"/>
    <s v="Johanes"/>
    <x v="8"/>
    <s v="H"/>
    <n v="1343"/>
    <s v="Mai"/>
    <n v="24"/>
    <x v="36"/>
    <m/>
    <m/>
    <s v="Domum de Borala"/>
    <m/>
    <m/>
    <m/>
    <m/>
    <m/>
    <m/>
  </r>
  <r>
    <n v="821"/>
    <s v="Johannes"/>
    <x v="8"/>
    <s v="H"/>
    <n v="1343"/>
    <s v="Août"/>
    <n v="29"/>
    <x v="4"/>
    <m/>
    <s v="Situm in territorio de Ladaniela"/>
    <s v="Prato Jacobi de Chanclausonis"/>
    <s v="Rivo Dorba"/>
    <m/>
    <m/>
    <m/>
    <m/>
    <s v="Quod territorio est de juridictiones castri Devesseti"/>
  </r>
  <r>
    <n v="821"/>
    <s v="Johannes"/>
    <x v="8"/>
    <s v="H"/>
    <n v="1343"/>
    <s v="Août"/>
    <n v="29"/>
    <x v="4"/>
    <m/>
    <s v="Situm in manso de Ladaniela"/>
    <s v="Prato Jacobi Chanslauso"/>
    <s v="Pasturali Jacobi Chanclauso"/>
    <s v="Pasturali Johanis Percio"/>
    <m/>
    <m/>
    <m/>
    <m/>
  </r>
  <r>
    <n v="821"/>
    <s v="Johannes"/>
    <x v="8"/>
    <s v="H"/>
    <n v="1343"/>
    <s v="Août"/>
    <n v="29"/>
    <x v="4"/>
    <s v="De Bono Fonte"/>
    <s v="Situm in territorio de Ladaniela"/>
    <s v="Pasturali Dans Pastoros"/>
    <s v="Sanha Jacobi del Moli"/>
    <m/>
    <m/>
    <m/>
    <m/>
    <m/>
  </r>
  <r>
    <n v="822"/>
    <s v="Poncius"/>
    <x v="8"/>
    <s v="H"/>
    <n v="1343"/>
    <s v="Août"/>
    <n v="29"/>
    <x v="15"/>
    <m/>
    <s v="Situm in territorio de Ladaniela"/>
    <s v="Petia Jacobi Chanclausois"/>
    <s v="Sanha Peyruchonis del Chier"/>
    <m/>
    <m/>
    <m/>
    <m/>
    <m/>
  </r>
  <r>
    <n v="822"/>
    <s v="Poncius"/>
    <x v="8"/>
    <s v="H"/>
    <n v="1343"/>
    <s v="Août"/>
    <n v="29"/>
    <x v="3"/>
    <s v="Del Moli"/>
    <m/>
    <s v="Prato del Moli"/>
    <s v="Quaitur Derba versus ecclesiam de Chanclausa"/>
    <m/>
    <m/>
    <m/>
    <m/>
    <m/>
  </r>
  <r>
    <n v="831"/>
    <s v="Johannes"/>
    <x v="8"/>
    <s v="H"/>
    <n v="1343"/>
    <s v="Août"/>
    <n v="29"/>
    <x v="4"/>
    <m/>
    <s v="Situm in territorio vocato de la Daniela"/>
    <s v="Itinere publico per quod itur de Font Moreta versus Anicium"/>
    <s v="Prato Guillermi Brayronis"/>
    <m/>
    <m/>
    <m/>
    <m/>
    <m/>
  </r>
  <r>
    <n v="831"/>
    <s v="Johannes"/>
    <x v="8"/>
    <s v="H"/>
    <n v="1343"/>
    <s v="Août"/>
    <n v="29"/>
    <x v="3"/>
    <s v="Del Clauset"/>
    <m/>
    <s v="Prato Johannis de Ponte"/>
    <s v="Prato de Las Pastotonas"/>
    <m/>
    <m/>
    <m/>
    <m/>
    <m/>
  </r>
  <r>
    <n v="831"/>
    <s v="Johannes"/>
    <x v="8"/>
    <s v="H"/>
    <n v="1343"/>
    <s v="Août"/>
    <n v="29"/>
    <x v="3"/>
    <s v="Lauversana"/>
    <m/>
    <s v="Petie sue quadam via media"/>
    <m/>
    <m/>
    <m/>
    <m/>
    <m/>
    <m/>
  </r>
  <r>
    <n v="831"/>
    <s v="Johannes"/>
    <x v="8"/>
    <s v="H"/>
    <n v="1343"/>
    <s v="Août"/>
    <n v="29"/>
    <x v="4"/>
    <s v="Pra Brolhenc"/>
    <m/>
    <s v="Via qua itur de Font Moreta versus Anicium"/>
    <m/>
    <m/>
    <m/>
    <m/>
    <m/>
    <m/>
  </r>
  <r>
    <n v="831"/>
    <s v="Johannes"/>
    <x v="8"/>
    <s v="H"/>
    <n v="1343"/>
    <s v="Août"/>
    <n v="29"/>
    <x v="15"/>
    <m/>
    <s v="Situm in territorio de Ladaniela"/>
    <s v="Pasturali Guillermi Bayronis"/>
    <s v="Pasturali Jacobi de Molino"/>
    <m/>
    <m/>
    <m/>
    <m/>
    <m/>
  </r>
  <r>
    <n v="841"/>
    <s v="Thomas"/>
    <x v="8"/>
    <s v="H"/>
    <n v="1343"/>
    <s v="Octobre"/>
    <n v="23"/>
    <x v="4"/>
    <m/>
    <s v="Situm in territorio de Chanclausa"/>
    <s v="Prato Petri Amati sive Sameti de Chanclausa"/>
    <m/>
    <m/>
    <m/>
    <m/>
    <m/>
    <s v="Circumcirca"/>
  </r>
  <r>
    <n v="842"/>
    <s v="Poncius"/>
    <x v="8"/>
    <s v="H"/>
    <n v="1343"/>
    <s v="Octobre"/>
    <n v="23"/>
    <x v="4"/>
    <m/>
    <s v="Situm apud Chanclausa"/>
    <s v="Pratis Petri Saureti"/>
    <s v="Prato Johannis Sermenti de Chanpanhac"/>
    <m/>
    <m/>
    <m/>
    <m/>
    <m/>
  </r>
  <r>
    <n v="843"/>
    <s v="Johannes"/>
    <x v="8"/>
    <s v="H"/>
    <n v="1343"/>
    <s v="Octobre"/>
    <n v="23"/>
    <x v="4"/>
    <m/>
    <s v="Situm in territorio de Chanclausa"/>
    <s v="Terra domini de Gobeto"/>
    <s v="Prato curati de Chanclausa"/>
    <s v="Prato Poncii Sermenti de Champanhac"/>
    <m/>
    <m/>
    <m/>
    <m/>
  </r>
  <r>
    <n v="851"/>
    <s v="Gregorius"/>
    <x v="8"/>
    <s v="H"/>
    <n v="1343"/>
    <s v="Octobre"/>
    <s v="?"/>
    <x v="4"/>
    <m/>
    <s v="Situm apud Chanclausa"/>
    <s v="Prato curati ecclesie de Chanclausa"/>
    <s v="Prato Dens Sametz"/>
    <s v="Prato Symonis de Peyro Lont"/>
    <m/>
    <m/>
    <m/>
    <m/>
  </r>
  <r>
    <n v="852"/>
    <s v="Jacobus"/>
    <x v="8"/>
    <s v="H"/>
    <n v="1343"/>
    <s v="Octobre"/>
    <s v="?"/>
    <x v="4"/>
    <m/>
    <s v="Situm in territorio de Chanclausa"/>
    <s v="Prato curati de Chanclausa"/>
    <s v="Prato Dens Sametz"/>
    <s v="Prato Symonis de Peyro Lont"/>
    <m/>
    <m/>
    <m/>
    <m/>
  </r>
  <r>
    <n v="861"/>
    <s v="Guillermus"/>
    <x v="8"/>
    <s v="H"/>
    <n v="1343"/>
    <s v="Octobre"/>
    <s v="Die mercuri ante festum omnium sanctorum"/>
    <x v="4"/>
    <m/>
    <s v="Situm in territorio de Chanclaus"/>
    <s v="Prato Thome Sermenti de Champanhac"/>
    <s v="Prato Johannis Sermenti de Chanpanhac"/>
    <s v="Prato Poncii Sermenti de Champanhac"/>
    <m/>
    <m/>
    <m/>
    <m/>
  </r>
  <r>
    <n v="862"/>
    <s v="Jacobus"/>
    <x v="8"/>
    <s v="H"/>
    <n v="1343"/>
    <s v="Octobre"/>
    <s v="Die mercuri ante festum omnium sanctorum"/>
    <x v="0"/>
    <s v="Laversana"/>
    <s v="Situm in territorio de Chanclausa"/>
    <s v="Petia Johannis Chanclausonis"/>
    <s v="Terra Jacobi del Moli"/>
    <m/>
    <m/>
    <m/>
    <m/>
    <m/>
  </r>
  <r>
    <n v="862"/>
    <s v="Jacobus"/>
    <x v="8"/>
    <s v="H"/>
    <n v="1343"/>
    <s v="Octobre"/>
    <s v="Die mercuri ante festum omnium sanctorum"/>
    <x v="4"/>
    <m/>
    <s v="Situm in territorio vocato de la Daniela"/>
    <s v="Suata per qua itur de Font Moreta versus Anicium"/>
    <s v="Prato Guillermi Bayronis"/>
    <m/>
    <m/>
    <m/>
    <m/>
    <m/>
  </r>
  <r>
    <n v="862"/>
    <s v="Jacobus"/>
    <x v="8"/>
    <s v="H"/>
    <n v="1343"/>
    <s v="Octobre"/>
    <s v="Die mercuri ante festum omnium sanctorum"/>
    <x v="15"/>
    <m/>
    <m/>
    <s v="Prato suo"/>
    <s v="Pasturale Dens Pastoros"/>
    <m/>
    <m/>
    <m/>
    <m/>
    <m/>
  </r>
  <r>
    <n v="863"/>
    <s v="Guillometa"/>
    <x v="8"/>
    <s v="F"/>
    <n v="1343"/>
    <s v="Octobre"/>
    <s v="Die mercuri ante festum omnium sanctorum"/>
    <x v="4"/>
    <m/>
    <s v="Situm in territorio de Chanclausa"/>
    <s v="Pratis ecclesie de Chanclauza"/>
    <s v="Pratis Dens Sermens de Champanhac"/>
    <m/>
    <m/>
    <m/>
    <m/>
    <m/>
  </r>
  <r>
    <n v="863"/>
    <s v="Guillometa"/>
    <x v="8"/>
    <s v="F"/>
    <n v="1343"/>
    <s v="Octobre"/>
    <s v="Die mercuri ante festum omnium sanctorum"/>
    <x v="15"/>
    <m/>
    <s v="Situm in territorio vocato de la Daniela"/>
    <s v="Sanha Jacobi del Chier"/>
    <s v="Via que venit de manso vocato Orba et vedit versus ecclesiam"/>
    <m/>
    <m/>
    <m/>
    <m/>
    <m/>
  </r>
  <r>
    <n v="871"/>
    <s v="Johannes"/>
    <x v="8"/>
    <s v="H"/>
    <n v="1343"/>
    <s v="Novembre"/>
    <n v="26"/>
    <x v="10"/>
    <s v="Poduo Brunent"/>
    <s v="Totum tenementum de Podio Brenent"/>
    <s v="Aqua limonis"/>
    <s v="Terra domini Aniciensis episcopi"/>
    <s v="Uno de Merdoc"/>
    <s v="Terra vocata de Podio del pont domini aniciensis episcopi"/>
    <m/>
    <m/>
    <s v="Exceptis pratis qui a dicta domo tenent Licharenas de Villo Lonie"/>
  </r>
  <r>
    <n v="871"/>
    <s v="Johannes"/>
    <x v="8"/>
    <s v="H"/>
    <n v="1343"/>
    <s v="Novembre"/>
    <n v="26"/>
    <x v="37"/>
    <m/>
    <m/>
    <m/>
    <m/>
    <m/>
    <m/>
    <m/>
    <m/>
    <s v="Pareta aquisito quod olim fuit de Chabrol de Sochenar"/>
  </r>
  <r>
    <n v="873"/>
    <s v="Jacobus"/>
    <x v="8"/>
    <s v="H"/>
    <n v="1343"/>
    <s v="Décembre"/>
    <n v="31"/>
    <x v="4"/>
    <m/>
    <s v="Situm in territorio vocato de la Daniela, juxta Chanclausa"/>
    <s v="Prato Jacobi Del Moli"/>
    <s v="Pasturali Johannis Pelacuer"/>
    <m/>
    <m/>
    <m/>
    <m/>
    <m/>
  </r>
  <r>
    <n v="873"/>
    <s v="Jacobus"/>
    <x v="8"/>
    <s v="H"/>
    <n v="1343"/>
    <s v="Décembre"/>
    <n v="31"/>
    <x v="15"/>
    <m/>
    <m/>
    <s v="Pratum suum"/>
    <m/>
    <m/>
    <m/>
    <m/>
    <m/>
    <m/>
  </r>
  <r>
    <n v="873"/>
    <s v="Jacobus"/>
    <x v="8"/>
    <s v="H"/>
    <n v="1343"/>
    <s v="Décembre"/>
    <n v="31"/>
    <x v="4"/>
    <m/>
    <s v="Situm in territorio vocato de la Daniela"/>
    <s v="Alio prato Jacobi Del Moli"/>
    <s v="Alio prato Johannis Pelacuer"/>
    <m/>
    <m/>
    <m/>
    <m/>
    <m/>
  </r>
  <r>
    <n v="873"/>
    <s v="Jacobus"/>
    <x v="8"/>
    <s v="H"/>
    <n v="1343"/>
    <s v="Décembre"/>
    <n v="31"/>
    <x v="4"/>
    <s v="Del Brolhac"/>
    <m/>
    <s v="Alio prato Johannis Pelacuer"/>
    <s v="Prato Jacobi Del Moli"/>
    <m/>
    <m/>
    <m/>
    <m/>
    <m/>
  </r>
  <r>
    <n v="873"/>
    <s v="Jacobus"/>
    <x v="8"/>
    <s v="H"/>
    <n v="1343"/>
    <s v="Décembre"/>
    <n v="31"/>
    <x v="2"/>
    <s v="Del Pomeir"/>
    <s v="Situm in territorio de la Daniela"/>
    <s v="Petia Jacobi del Moli"/>
    <s v="Petia Johannis Pelacuer"/>
    <m/>
    <m/>
    <m/>
    <m/>
    <m/>
  </r>
  <r>
    <n v="873"/>
    <s v="Jacobus"/>
    <x v="8"/>
    <s v="H"/>
    <n v="1343"/>
    <s v="Décembre"/>
    <n v="31"/>
    <x v="3"/>
    <m/>
    <s v="Situm in territorio de Bonofonte"/>
    <s v="Petia Jacobi del Moli"/>
    <s v="Petia Dens Pastoros"/>
    <m/>
    <m/>
    <m/>
    <m/>
    <m/>
  </r>
  <r>
    <n v="1191"/>
    <s v="Johannes"/>
    <x v="9"/>
    <s v="H"/>
    <n v="1396"/>
    <s v="Octobre"/>
    <n v="10"/>
    <x v="10"/>
    <s v="De Las Antas sive de Ralharant et in partibus de Chandeyrolus nominatum de Devesseti"/>
    <m/>
    <m/>
    <m/>
    <m/>
    <m/>
    <m/>
    <m/>
    <m/>
  </r>
  <r>
    <n v="1151"/>
    <s v="Johannes"/>
    <x v="10"/>
    <s v="H"/>
    <n v="1343"/>
    <s v="Décembre"/>
    <n v="5"/>
    <x v="7"/>
    <m/>
    <s v="Sitam apud Chanilhhs"/>
    <s v="Domo Pocii de Chanils"/>
    <m/>
    <m/>
    <m/>
    <m/>
    <m/>
    <m/>
  </r>
  <r>
    <n v="1151"/>
    <s v="Johannes"/>
    <x v="10"/>
    <s v="H"/>
    <n v="1343"/>
    <s v="Décembre"/>
    <n v="5"/>
    <x v="2"/>
    <m/>
    <s v="Situm apud Chanilhs"/>
    <s v="Domo Poncii de Chanils"/>
    <m/>
    <m/>
    <m/>
    <m/>
    <m/>
    <m/>
  </r>
  <r>
    <n v="1151"/>
    <s v="Johannes"/>
    <x v="10"/>
    <s v="H"/>
    <n v="1343"/>
    <s v="Décembre"/>
    <n v="5"/>
    <x v="3"/>
    <s v="Del Clot"/>
    <m/>
    <s v="Petia Dens Largens"/>
    <s v="Petia Dens Foras"/>
    <m/>
    <m/>
    <m/>
    <m/>
    <m/>
  </r>
  <r>
    <n v="1151"/>
    <s v="Johannes"/>
    <x v="10"/>
    <s v="H"/>
    <n v="1343"/>
    <s v="Décembre"/>
    <n v="5"/>
    <x v="3"/>
    <s v="De prato de Champmort"/>
    <m/>
    <s v="Petia Petri Curtilis"/>
    <s v="Petia Poncii de Chanils"/>
    <m/>
    <m/>
    <m/>
    <m/>
    <m/>
  </r>
  <r>
    <n v="1151"/>
    <s v="Johannes"/>
    <x v="10"/>
    <s v="H"/>
    <n v="1343"/>
    <s v="Décembre"/>
    <n v="5"/>
    <x v="3"/>
    <s v="Del Suchayro"/>
    <m/>
    <s v="Petia Dens Largieris"/>
    <s v="Tenemento de Chanils"/>
    <m/>
    <m/>
    <m/>
    <m/>
    <m/>
  </r>
  <r>
    <n v="1151"/>
    <s v="Johannes"/>
    <x v="10"/>
    <s v="H"/>
    <n v="1343"/>
    <s v="Décembre"/>
    <n v="5"/>
    <x v="38"/>
    <s v="Del Peiro"/>
    <m/>
    <s v="Petia Dens Chareiras"/>
    <s v="Terris de Chanils"/>
    <m/>
    <m/>
    <m/>
    <m/>
    <m/>
  </r>
  <r>
    <n v="1151"/>
    <s v="Johannes"/>
    <x v="10"/>
    <s v="H"/>
    <n v="1343"/>
    <s v="Décembre"/>
    <n v="5"/>
    <x v="3"/>
    <s v="De Craba Rata"/>
    <m/>
    <s v="Petia Poncii de Chanils"/>
    <s v="Petia Johannis Turri de Furnis"/>
    <m/>
    <m/>
    <m/>
    <m/>
    <m/>
  </r>
  <r>
    <n v="1151"/>
    <s v="Johannes"/>
    <x v="10"/>
    <s v="H"/>
    <n v="1343"/>
    <s v="Décembre"/>
    <n v="5"/>
    <x v="3"/>
    <s v="De Lasrochas"/>
    <m/>
    <s v="Terra Poncii de Chanils"/>
    <s v="Terra Jacobi de Chanils"/>
    <m/>
    <m/>
    <m/>
    <m/>
    <m/>
  </r>
  <r>
    <n v="1151"/>
    <s v="Johannes"/>
    <x v="10"/>
    <s v="H"/>
    <n v="1343"/>
    <s v="Décembre"/>
    <n v="5"/>
    <x v="3"/>
    <m/>
    <s v="Sitam apud Chanils"/>
    <s v="Pasturali Poncii de Chanils"/>
    <s v="Petia Johannis Turri"/>
    <m/>
    <m/>
    <m/>
    <m/>
    <m/>
  </r>
  <r>
    <n v="1151"/>
    <s v="Johannes"/>
    <x v="10"/>
    <s v="H"/>
    <n v="1343"/>
    <s v="Décembre"/>
    <n v="5"/>
    <x v="3"/>
    <m/>
    <s v="Sitam apud Chanils"/>
    <s v="Petia Poncii de Chanils"/>
    <s v="Petia Jacmonis de Chanils"/>
    <m/>
    <m/>
    <m/>
    <m/>
    <m/>
  </r>
  <r>
    <n v="1151"/>
    <s v="Johannes"/>
    <x v="10"/>
    <s v="H"/>
    <n v="1343"/>
    <s v="Décembre"/>
    <n v="5"/>
    <x v="3"/>
    <m/>
    <s v="Sitam in territorio de la Veiranua"/>
    <s v="Terra de Villalongia"/>
    <s v="Vocatorum de Los Chareiras"/>
    <m/>
    <m/>
    <m/>
    <m/>
    <m/>
  </r>
  <r>
    <n v="1151"/>
    <s v="Johannes"/>
    <x v="10"/>
    <s v="H"/>
    <n v="1343"/>
    <s v="Décembre"/>
    <n v="5"/>
    <x v="3"/>
    <s v="Del Frayteir"/>
    <m/>
    <s v="Terra Dens Ruens"/>
    <s v="Terra Dens Ruens"/>
    <m/>
    <m/>
    <m/>
    <m/>
    <m/>
  </r>
  <r>
    <n v="1151"/>
    <s v="Johannes"/>
    <x v="10"/>
    <s v="H"/>
    <n v="1343"/>
    <s v="Décembre"/>
    <n v="5"/>
    <x v="4"/>
    <s v="Del Clotz"/>
    <m/>
    <s v="Sanhacio Jacobi de Chanils"/>
    <m/>
    <m/>
    <m/>
    <m/>
    <m/>
    <m/>
  </r>
  <r>
    <n v="1151"/>
    <s v="Johannes"/>
    <x v="10"/>
    <s v="H"/>
    <n v="1343"/>
    <s v="Décembre"/>
    <n v="5"/>
    <x v="4"/>
    <s v="Del Clotz"/>
    <m/>
    <s v="Petia Poncii de Chanils"/>
    <m/>
    <m/>
    <m/>
    <m/>
    <m/>
    <m/>
  </r>
  <r>
    <n v="1151"/>
    <s v="Johannes"/>
    <x v="10"/>
    <s v="H"/>
    <n v="1343"/>
    <s v="Décembre"/>
    <n v="5"/>
    <x v="4"/>
    <m/>
    <m/>
    <s v="Prato Poncii de Chanils"/>
    <m/>
    <m/>
    <m/>
    <m/>
    <m/>
    <m/>
  </r>
  <r>
    <n v="1151"/>
    <s v="Johannes"/>
    <x v="10"/>
    <s v="H"/>
    <n v="1343"/>
    <s v="Décembre"/>
    <n v="5"/>
    <x v="4"/>
    <m/>
    <s v="Sutus ruppe"/>
    <s v="Prato Poncii de Chanils"/>
    <m/>
    <m/>
    <m/>
    <m/>
    <m/>
    <m/>
  </r>
  <r>
    <n v="1151"/>
    <s v="Johannes"/>
    <x v="10"/>
    <s v="H"/>
    <n v="1343"/>
    <s v="Décembre"/>
    <n v="5"/>
    <x v="15"/>
    <s v="De parato Ferrant"/>
    <m/>
    <m/>
    <m/>
    <m/>
    <m/>
    <m/>
    <m/>
    <m/>
  </r>
  <r>
    <n v="1151"/>
    <s v="Johannes"/>
    <x v="10"/>
    <s v="H"/>
    <n v="1343"/>
    <s v="Décembre"/>
    <n v="5"/>
    <x v="4"/>
    <s v="De parato Ferrant"/>
    <m/>
    <m/>
    <m/>
    <m/>
    <m/>
    <m/>
    <m/>
    <m/>
  </r>
  <r>
    <n v="1161"/>
    <s v="Peyronus et Jacmeta"/>
    <x v="10"/>
    <s v="H"/>
    <n v="1343"/>
    <s v="Décembre"/>
    <n v="5"/>
    <x v="1"/>
    <m/>
    <s v="Sitas apud Chanils"/>
    <m/>
    <m/>
    <m/>
    <m/>
    <m/>
    <m/>
    <m/>
  </r>
  <r>
    <n v="1161"/>
    <s v="Peyronus et Jacmeta"/>
    <x v="10"/>
    <s v="H"/>
    <n v="1343"/>
    <s v="Décembre"/>
    <n v="5"/>
    <x v="2"/>
    <m/>
    <s v="Situm ante domum suum"/>
    <m/>
    <m/>
    <m/>
    <m/>
    <m/>
    <m/>
    <m/>
  </r>
  <r>
    <n v="1161"/>
    <s v="Peyronus et Jacmeta"/>
    <x v="10"/>
    <s v="H"/>
    <n v="1343"/>
    <s v="Décembre"/>
    <n v="5"/>
    <x v="3"/>
    <s v="De Cruce"/>
    <m/>
    <m/>
    <m/>
    <m/>
    <m/>
    <m/>
    <m/>
    <m/>
  </r>
  <r>
    <n v="1161"/>
    <s v="Peyronus et Jacmeta"/>
    <x v="10"/>
    <s v="H"/>
    <n v="1343"/>
    <s v="Décembre"/>
    <n v="5"/>
    <x v="3"/>
    <s v="Del Suchayro"/>
    <m/>
    <m/>
    <m/>
    <m/>
    <m/>
    <m/>
    <m/>
    <m/>
  </r>
  <r>
    <n v="1161"/>
    <s v="Peyronus et Jacmeta"/>
    <x v="10"/>
    <s v="H"/>
    <n v="1343"/>
    <s v="Décembre"/>
    <n v="5"/>
    <x v="3"/>
    <s v="Del Poy"/>
    <m/>
    <m/>
    <m/>
    <m/>
    <m/>
    <m/>
    <m/>
    <m/>
  </r>
  <r>
    <n v="1161"/>
    <s v="Peyronus et Jacmeta"/>
    <x v="10"/>
    <s v="H"/>
    <n v="1343"/>
    <s v="Décembre"/>
    <n v="5"/>
    <x v="3"/>
    <s v="De Podio"/>
    <m/>
    <m/>
    <m/>
    <m/>
    <m/>
    <m/>
    <m/>
    <m/>
  </r>
  <r>
    <n v="1161"/>
    <s v="Peyronus et Jacmeta"/>
    <x v="10"/>
    <s v="H"/>
    <n v="1343"/>
    <s v="Décembre"/>
    <n v="5"/>
    <x v="3"/>
    <s v="Del Praet"/>
    <m/>
    <m/>
    <m/>
    <m/>
    <m/>
    <m/>
    <m/>
    <m/>
  </r>
  <r>
    <n v="1161"/>
    <s v="Peyronus et Jacmeta"/>
    <x v="10"/>
    <s v="H"/>
    <n v="1343"/>
    <s v="Décembre"/>
    <n v="5"/>
    <x v="3"/>
    <s v="Del Raunaudest"/>
    <m/>
    <m/>
    <m/>
    <m/>
    <m/>
    <m/>
    <m/>
    <m/>
  </r>
  <r>
    <n v="1161"/>
    <s v="Peyronus et Jacmeta"/>
    <x v="10"/>
    <s v="H"/>
    <n v="1343"/>
    <s v="Décembre"/>
    <n v="5"/>
    <x v="3"/>
    <s v="De la Veruna"/>
    <m/>
    <m/>
    <m/>
    <m/>
    <m/>
    <m/>
    <m/>
    <m/>
  </r>
  <r>
    <n v="1161"/>
    <s v="Peyronus et Jacmeta"/>
    <x v="10"/>
    <s v="H"/>
    <n v="1343"/>
    <s v="Décembre"/>
    <n v="5"/>
    <x v="3"/>
    <m/>
    <s v="Sitam Enlas Lonianhas"/>
    <m/>
    <m/>
    <m/>
    <m/>
    <m/>
    <m/>
    <m/>
  </r>
  <r>
    <n v="1161"/>
    <s v="Peyronus et Jacmeta"/>
    <x v="10"/>
    <s v="H"/>
    <n v="1343"/>
    <s v="Décembre"/>
    <n v="5"/>
    <x v="3"/>
    <s v="La Cartala"/>
    <s v="Sitam de recto domum suam"/>
    <m/>
    <m/>
    <m/>
    <m/>
    <m/>
    <m/>
    <m/>
  </r>
  <r>
    <n v="1161"/>
    <s v="Peyronus et Jacmeta"/>
    <x v="10"/>
    <s v="H"/>
    <n v="1343"/>
    <s v="Décembre"/>
    <n v="5"/>
    <x v="39"/>
    <m/>
    <s v="Sita in territorio de Chanils"/>
    <s v="Terra de Villa Lonia"/>
    <s v="Calma Del Mares Fornes"/>
    <s v="Terra de Champanhas"/>
    <m/>
    <m/>
    <m/>
    <m/>
  </r>
  <r>
    <n v="1161"/>
    <s v="Peyronus et Jacmeta"/>
    <x v="10"/>
    <s v="H"/>
    <n v="1343"/>
    <s v="Décembre"/>
    <n v="5"/>
    <x v="4"/>
    <m/>
    <s v="Situm ante domum suum de Chanils"/>
    <m/>
    <m/>
    <m/>
    <m/>
    <m/>
    <m/>
    <m/>
  </r>
  <r>
    <n v="1161"/>
    <s v="Peyronus et Jacmeta"/>
    <x v="10"/>
    <s v="H"/>
    <n v="1343"/>
    <s v="Décembre"/>
    <n v="5"/>
    <x v="4"/>
    <s v="Del Sant"/>
    <m/>
    <m/>
    <m/>
    <m/>
    <m/>
    <m/>
    <m/>
    <m/>
  </r>
  <r>
    <n v="1161"/>
    <s v="Peyronus et Jacmeta"/>
    <x v="10"/>
    <s v="H"/>
    <n v="1343"/>
    <s v="Décembre"/>
    <n v="5"/>
    <x v="4"/>
    <m/>
    <s v="Juxta domum nuum"/>
    <m/>
    <m/>
    <m/>
    <m/>
    <m/>
    <m/>
    <m/>
  </r>
  <r>
    <n v="1161"/>
    <s v="Peyronus et Jacmeta"/>
    <x v="10"/>
    <s v="H"/>
    <n v="1343"/>
    <s v="Décembre"/>
    <n v="5"/>
    <x v="15"/>
    <s v="De Prato Ferrate"/>
    <s v="Sitam in territorio de Chanils"/>
    <m/>
    <m/>
    <m/>
    <m/>
    <m/>
    <m/>
    <m/>
  </r>
  <r>
    <n v="1161"/>
    <s v="Peyronus et Jacmeta"/>
    <x v="10"/>
    <s v="H"/>
    <n v="1343"/>
    <s v="Décembre"/>
    <n v="5"/>
    <x v="15"/>
    <s v="De Cumba"/>
    <s v="Juxta molenduunum de Champanhas"/>
    <m/>
    <m/>
    <m/>
    <m/>
    <m/>
    <m/>
    <m/>
  </r>
  <r>
    <n v="1161"/>
    <s v="Peyronus et Jacmeta"/>
    <x v="10"/>
    <s v="H"/>
    <n v="1343"/>
    <s v="Décembre"/>
    <n v="5"/>
    <x v="33"/>
    <s v="De Lasgotas"/>
    <s v="Prope de Villalonia"/>
    <m/>
    <m/>
    <m/>
    <m/>
    <m/>
    <m/>
    <m/>
  </r>
  <r>
    <n v="1701"/>
    <s v="Poncius"/>
    <x v="10"/>
    <s v="H"/>
    <n v="1343"/>
    <s v="Avril"/>
    <n v="16"/>
    <x v="1"/>
    <m/>
    <s v="Sitas apud Chanils"/>
    <m/>
    <m/>
    <m/>
    <m/>
    <m/>
    <m/>
    <m/>
  </r>
  <r>
    <n v="1701"/>
    <s v="Poncius"/>
    <x v="10"/>
    <s v="H"/>
    <n v="1343"/>
    <s v="Avril"/>
    <n v="16"/>
    <x v="2"/>
    <m/>
    <s v="Situm apud Chanils"/>
    <m/>
    <m/>
    <m/>
    <m/>
    <m/>
    <m/>
    <m/>
  </r>
  <r>
    <n v="1701"/>
    <s v="Poncius"/>
    <x v="10"/>
    <s v="H"/>
    <n v="1343"/>
    <s v="Avril"/>
    <n v="16"/>
    <x v="3"/>
    <m/>
    <s v="Sitam recto domos suas"/>
    <m/>
    <m/>
    <m/>
    <m/>
    <m/>
    <m/>
    <m/>
  </r>
  <r>
    <n v="1701"/>
    <s v="Poncius"/>
    <x v="10"/>
    <s v="H"/>
    <n v="1343"/>
    <s v="Avril"/>
    <n v="16"/>
    <x v="3"/>
    <s v="De Creba Rata"/>
    <m/>
    <m/>
    <m/>
    <m/>
    <m/>
    <m/>
    <m/>
    <m/>
  </r>
  <r>
    <n v="1701"/>
    <s v="Poncius"/>
    <x v="10"/>
    <s v="H"/>
    <n v="1343"/>
    <s v="Avril"/>
    <n v="16"/>
    <x v="3"/>
    <s v="Del Chapil de la Maiso"/>
    <m/>
    <m/>
    <m/>
    <m/>
    <m/>
    <m/>
    <m/>
    <m/>
  </r>
  <r>
    <n v="1701"/>
    <s v="Poncius"/>
    <x v="10"/>
    <s v="H"/>
    <n v="1343"/>
    <s v="Avril"/>
    <n v="16"/>
    <x v="40"/>
    <s v="[-]to Ferant"/>
    <m/>
    <m/>
    <m/>
    <m/>
    <m/>
    <m/>
    <m/>
    <m/>
  </r>
  <r>
    <n v="1701"/>
    <s v="Poncius"/>
    <x v="10"/>
    <s v="H"/>
    <n v="1343"/>
    <s v="Avril"/>
    <n v="16"/>
    <x v="38"/>
    <s v="Podio Chamles"/>
    <m/>
    <m/>
    <m/>
    <m/>
    <m/>
    <m/>
    <m/>
    <m/>
  </r>
  <r>
    <n v="1701"/>
    <s v="Poncius"/>
    <x v="10"/>
    <s v="H"/>
    <n v="1343"/>
    <s v="Avril"/>
    <n v="16"/>
    <x v="3"/>
    <s v="Del Peiro"/>
    <m/>
    <m/>
    <m/>
    <m/>
    <m/>
    <m/>
    <m/>
    <m/>
  </r>
  <r>
    <n v="1701"/>
    <s v="Poncius"/>
    <x v="10"/>
    <s v="H"/>
    <n v="1343"/>
    <s v="Avril"/>
    <n v="16"/>
    <x v="3"/>
    <s v="Campo Merono"/>
    <m/>
    <m/>
    <m/>
    <m/>
    <m/>
    <m/>
    <m/>
    <m/>
  </r>
  <r>
    <n v="1701"/>
    <s v="Poncius"/>
    <x v="10"/>
    <s v="H"/>
    <n v="1343"/>
    <s v="Avril"/>
    <n v="16"/>
    <x v="38"/>
    <s v="La Cros"/>
    <m/>
    <m/>
    <m/>
    <m/>
    <m/>
    <m/>
    <m/>
    <m/>
  </r>
  <r>
    <n v="1701"/>
    <s v="Poncius"/>
    <x v="10"/>
    <s v="H"/>
    <n v="1343"/>
    <s v="Avril"/>
    <n v="16"/>
    <x v="3"/>
    <s v="Del Raynardest"/>
    <m/>
    <m/>
    <m/>
    <m/>
    <m/>
    <m/>
    <m/>
    <m/>
  </r>
  <r>
    <n v="1701"/>
    <s v="Poncius"/>
    <x v="10"/>
    <s v="H"/>
    <n v="1343"/>
    <s v="Avril"/>
    <n v="16"/>
    <x v="33"/>
    <s v="Del Raynardest"/>
    <m/>
    <m/>
    <m/>
    <m/>
    <m/>
    <m/>
    <m/>
    <m/>
  </r>
  <r>
    <n v="1701"/>
    <s v="Poncius"/>
    <x v="10"/>
    <s v="H"/>
    <n v="1343"/>
    <s v="Avril"/>
    <n v="16"/>
    <x v="38"/>
    <s v="Del Oreto"/>
    <m/>
    <s v="Juxta petiam Dens Largien"/>
    <m/>
    <m/>
    <m/>
    <m/>
    <m/>
    <m/>
  </r>
  <r>
    <n v="1701"/>
    <s v="Poncius"/>
    <x v="10"/>
    <s v="H"/>
    <n v="1343"/>
    <s v="Avril"/>
    <n v="16"/>
    <x v="3"/>
    <s v="Praferone"/>
    <m/>
    <m/>
    <m/>
    <m/>
    <m/>
    <m/>
    <m/>
    <m/>
  </r>
  <r>
    <n v="1701"/>
    <s v="Poncius"/>
    <x v="10"/>
    <s v="H"/>
    <n v="1343"/>
    <s v="Avril"/>
    <n v="16"/>
    <x v="3"/>
    <s v="La Lonianha"/>
    <m/>
    <m/>
    <m/>
    <m/>
    <m/>
    <m/>
    <m/>
    <m/>
  </r>
  <r>
    <n v="1701"/>
    <s v="Poncius"/>
    <x v="10"/>
    <s v="H"/>
    <n v="1343"/>
    <s v="Avril"/>
    <n v="16"/>
    <x v="3"/>
    <s v="Veyrana"/>
    <m/>
    <m/>
    <m/>
    <m/>
    <m/>
    <m/>
    <m/>
    <m/>
  </r>
  <r>
    <n v="1701"/>
    <s v="Poncius"/>
    <x v="10"/>
    <s v="H"/>
    <n v="1343"/>
    <s v="Avril"/>
    <n v="16"/>
    <x v="3"/>
    <s v="Las Cortas"/>
    <m/>
    <m/>
    <m/>
    <m/>
    <m/>
    <m/>
    <m/>
    <m/>
  </r>
  <r>
    <n v="1701"/>
    <s v="Poncius"/>
    <x v="10"/>
    <s v="H"/>
    <n v="1343"/>
    <s v="Avril"/>
    <n v="16"/>
    <x v="41"/>
    <s v="Las Cortas"/>
    <m/>
    <m/>
    <m/>
    <m/>
    <m/>
    <m/>
    <m/>
    <m/>
  </r>
  <r>
    <n v="1701"/>
    <s v="Poncius"/>
    <x v="10"/>
    <s v="H"/>
    <n v="1343"/>
    <s v="Avril"/>
    <n v="16"/>
    <x v="3"/>
    <s v="Del Sanias de la Lepia"/>
    <m/>
    <m/>
    <m/>
    <m/>
    <m/>
    <m/>
    <m/>
    <m/>
  </r>
  <r>
    <n v="1701"/>
    <s v="Poncius"/>
    <x v="10"/>
    <s v="H"/>
    <n v="1343"/>
    <s v="Avril"/>
    <n v="16"/>
    <x v="33"/>
    <s v="Las Gatas"/>
    <m/>
    <m/>
    <m/>
    <m/>
    <m/>
    <m/>
    <m/>
    <m/>
  </r>
  <r>
    <n v="1701"/>
    <s v="Poncius"/>
    <x v="10"/>
    <s v="H"/>
    <n v="1343"/>
    <s v="Avril"/>
    <n v="16"/>
    <x v="3"/>
    <s v="Del Sucheiro"/>
    <m/>
    <m/>
    <m/>
    <m/>
    <m/>
    <m/>
    <m/>
    <m/>
  </r>
  <r>
    <n v="1701"/>
    <s v="Poncius"/>
    <x v="10"/>
    <s v="H"/>
    <n v="1343"/>
    <s v="Avril"/>
    <n v="16"/>
    <x v="3"/>
    <s v="Del Sucheiro"/>
    <m/>
    <m/>
    <m/>
    <m/>
    <m/>
    <m/>
    <m/>
    <m/>
  </r>
  <r>
    <n v="1701"/>
    <s v="Poncius"/>
    <x v="10"/>
    <s v="H"/>
    <n v="1343"/>
    <s v="Avril"/>
    <n v="16"/>
    <x v="3"/>
    <s v="De la Sun Sanhas de Sana Lobost"/>
    <m/>
    <m/>
    <m/>
    <m/>
    <m/>
    <m/>
    <m/>
    <m/>
  </r>
  <r>
    <n v="1701"/>
    <s v="Poncius"/>
    <x v="10"/>
    <s v="H"/>
    <n v="1343"/>
    <s v="Avril"/>
    <n v="16"/>
    <x v="4"/>
    <s v="De la Rocha"/>
    <m/>
    <m/>
    <m/>
    <m/>
    <m/>
    <m/>
    <m/>
    <m/>
  </r>
  <r>
    <n v="1701"/>
    <s v="Poncius"/>
    <x v="10"/>
    <s v="H"/>
    <n v="1343"/>
    <s v="Avril"/>
    <n v="16"/>
    <x v="4"/>
    <s v="Del Sant"/>
    <m/>
    <m/>
    <m/>
    <m/>
    <m/>
    <m/>
    <m/>
    <m/>
  </r>
  <r>
    <n v="1701"/>
    <s v="Poncius"/>
    <x v="10"/>
    <s v="H"/>
    <n v="1343"/>
    <s v="Avril"/>
    <n v="16"/>
    <x v="4"/>
    <s v="De Las Conts"/>
    <m/>
    <m/>
    <m/>
    <m/>
    <m/>
    <m/>
    <m/>
    <m/>
  </r>
  <r>
    <n v="1701"/>
    <s v="Poncius"/>
    <x v="10"/>
    <s v="H"/>
    <n v="1343"/>
    <s v="Avril"/>
    <n v="16"/>
    <x v="4"/>
    <s v="Feriant"/>
    <m/>
    <m/>
    <m/>
    <m/>
    <m/>
    <m/>
    <m/>
    <m/>
  </r>
  <r>
    <n v="1701"/>
    <s v="Poncius"/>
    <x v="10"/>
    <s v="H"/>
    <n v="1343"/>
    <s v="Avril"/>
    <n v="16"/>
    <x v="4"/>
    <s v="De Las Conts"/>
    <m/>
    <m/>
    <m/>
    <m/>
    <m/>
    <m/>
    <m/>
    <s v="Quod habuit […] Chanils"/>
  </r>
  <r>
    <n v="1701"/>
    <s v="Poncius"/>
    <x v="10"/>
    <s v="H"/>
    <n v="1343"/>
    <s v="Avril"/>
    <n v="16"/>
    <x v="4"/>
    <s v="Gotalh"/>
    <m/>
    <s v="Juxta domum suam"/>
    <m/>
    <m/>
    <m/>
    <m/>
    <m/>
    <m/>
  </r>
  <r>
    <n v="1701"/>
    <s v="Poncius"/>
    <x v="10"/>
    <s v="H"/>
    <n v="1343"/>
    <s v="Avril"/>
    <n v="16"/>
    <x v="3"/>
    <s v="Dens Aualanheus"/>
    <m/>
    <m/>
    <m/>
    <m/>
    <m/>
    <m/>
    <m/>
    <m/>
  </r>
  <r>
    <n v="1181"/>
    <s v="Petrus"/>
    <x v="11"/>
    <s v="H"/>
    <n v="1343"/>
    <s v="Février"/>
    <n v="4"/>
    <x v="4"/>
    <m/>
    <s v="Situm in territorio de Tenharant"/>
    <m/>
    <m/>
    <m/>
    <m/>
    <m/>
    <m/>
    <m/>
  </r>
  <r>
    <n v="1181"/>
    <s v="Petrus"/>
    <x v="11"/>
    <s v="H"/>
    <n v="1343"/>
    <s v="Février"/>
    <n v="4"/>
    <x v="6"/>
    <m/>
    <s v="Situm in territorio de Tenharant"/>
    <s v="Prato Jacobi Ferrisserii"/>
    <s v="Prato Dens Alenbietz"/>
    <s v="Via qua itur de Chandayrolis versus Chantaloba"/>
    <m/>
    <m/>
    <m/>
    <s v="Territoire appartient à la maison de Devesset"/>
  </r>
  <r>
    <n v="1183"/>
    <s v="Johannes"/>
    <x v="11"/>
    <s v="H"/>
    <n v="1343"/>
    <s v="Février"/>
    <n v="4"/>
    <x v="42"/>
    <s v="De Relharant"/>
    <m/>
    <m/>
    <m/>
    <m/>
    <m/>
    <m/>
    <m/>
    <s v="De Novo assensaco"/>
  </r>
  <r>
    <n v="1312"/>
    <s v="Petrus"/>
    <x v="12"/>
    <s v="H"/>
    <n v="1343"/>
    <s v="Décembre"/>
    <n v="11"/>
    <x v="4"/>
    <m/>
    <s v="Situm apud Chapons in territorrio vocato de Las Vinhas"/>
    <s v="Rivo de Chapons"/>
    <s v="Prato Magristri Raymundi de Jannac notarii"/>
    <s v="Prato Guillermi Coraterii Del Chaslar"/>
    <m/>
    <m/>
    <m/>
    <m/>
  </r>
  <r>
    <n v="1313"/>
    <s v="Margarona"/>
    <x v="12"/>
    <s v="F"/>
    <n v="1343"/>
    <s v="Décembre"/>
    <n v="11"/>
    <x v="4"/>
    <m/>
    <s v="Situm in territorio de Las Vinhas de Chapons"/>
    <s v="Rivo de Chapons"/>
    <s v="Prato Magristri Raymundi de Jannac notarii"/>
    <s v="Prato Guillermi Goiraterii Del Chaslario"/>
    <m/>
    <m/>
    <m/>
    <m/>
  </r>
  <r>
    <n v="1314"/>
    <s v="Poncius et Hugo"/>
    <x v="13"/>
    <s v="H"/>
    <n v="1343"/>
    <s v="Décembre"/>
    <n v="11"/>
    <x v="0"/>
    <m/>
    <s v="Sitam apud Jannac, in territorio de Chastanhier"/>
    <s v="Terra Johannis del Garda"/>
    <s v="Orto Vitalis del Chastanhier"/>
    <m/>
    <m/>
    <m/>
    <m/>
    <s v="In quam semmat qua dimidium M^C Bladi"/>
  </r>
  <r>
    <n v="1182"/>
    <s v="Johannes"/>
    <x v="14"/>
    <s v="H"/>
    <n v="1343"/>
    <s v="Février"/>
    <n v="4"/>
    <x v="4"/>
    <m/>
    <s v="Situm in territorio de Relharant"/>
    <s v="Prato Jacobi Ferrisserii"/>
    <s v="Prato Gregorii Alamlueti"/>
    <s v="Terra domus Devesseti"/>
    <m/>
    <m/>
    <m/>
    <m/>
  </r>
  <r>
    <n v="1443"/>
    <s v="Beatrix et Marieta"/>
    <x v="15"/>
    <s v="F"/>
    <n v="1345"/>
    <s v="Octobre"/>
    <n v="23"/>
    <x v="43"/>
    <s v="Combasola"/>
    <m/>
    <s v="Terra domini de Meysosola"/>
    <s v="Terra ecclesie sur de Noseynes"/>
    <s v="Terra nobilis Francisa bellipiandii"/>
    <s v="Terra de Calmas quas tenetur si sub snhoria domini duntis borbonenti de Duetto Dominio"/>
    <s v="Terra Jacmeti de la Mess que tenetur sub senhoria prioratus de Maschanilha uno rivo intermedio"/>
    <m/>
    <m/>
  </r>
  <r>
    <n v="1142"/>
    <s v="Stephanus"/>
    <x v="16"/>
    <s v="H"/>
    <n v="1343"/>
    <s v="Décembre"/>
    <n v="1"/>
    <x v="44"/>
    <m/>
    <s v="Sitam in territorio de Chalmiselis"/>
    <s v=" quam tenet a domino Guillermo de Satilhiaco milite"/>
    <s v="Calma de Chalmeselis"/>
    <m/>
    <m/>
    <m/>
    <m/>
    <m/>
  </r>
  <r>
    <n v="1142"/>
    <s v="Stephanus"/>
    <x v="16"/>
    <s v="H"/>
    <n v="1343"/>
    <s v="Décembre"/>
    <n v="1"/>
    <x v="4"/>
    <m/>
    <s v="Situm in territorio de Mylhoza"/>
    <s v="Prato Stephani de Malagayta"/>
    <s v="Rivo vocato de Cevena"/>
    <m/>
    <m/>
    <m/>
    <m/>
    <m/>
  </r>
  <r>
    <n v="1351"/>
    <s v="Johannes"/>
    <x v="17"/>
    <s v="H"/>
    <n v="1343"/>
    <s v="Mai"/>
    <n v="22"/>
    <x v="23"/>
    <s v="Calhaissa"/>
    <m/>
    <m/>
    <m/>
    <m/>
    <m/>
    <m/>
    <m/>
    <m/>
  </r>
  <r>
    <n v="1871"/>
    <s v="Johanneta"/>
    <x v="18"/>
    <s v="F"/>
    <n v="1345"/>
    <s v="Avril"/>
    <n v="7"/>
    <x v="7"/>
    <m/>
    <s v="Sitam apud Freidas Peres"/>
    <m/>
    <m/>
    <m/>
    <m/>
    <m/>
    <m/>
    <m/>
  </r>
  <r>
    <n v="1315"/>
    <s v="Johanos"/>
    <x v="19"/>
    <s v="H"/>
    <n v="1343"/>
    <s v="Décembre"/>
    <n v="11"/>
    <x v="5"/>
    <m/>
    <s v="Sitam in territorio de Ruppe"/>
    <s v="Rivo de Charnassac"/>
    <s v="Vinea Raymundi de Sanna"/>
    <s v="Vinea de Fayno"/>
    <m/>
    <m/>
    <m/>
    <m/>
  </r>
  <r>
    <n v="1301"/>
    <s v="Matheus et Peyronus"/>
    <x v="20"/>
    <s v="H"/>
    <n v="1343"/>
    <s v="Décembre"/>
    <n v="10"/>
    <x v="7"/>
    <m/>
    <s v="Sitam apud Lo Chascanheir de Jannat"/>
    <m/>
    <m/>
    <m/>
    <m/>
    <m/>
    <m/>
    <m/>
  </r>
  <r>
    <n v="1301"/>
    <s v="Matheus et Peyronus"/>
    <x v="20"/>
    <s v="H"/>
    <n v="1343"/>
    <s v="Décembre"/>
    <n v="10"/>
    <x v="2"/>
    <m/>
    <m/>
    <s v="Domum suum"/>
    <s v="Ouchia Pochaya de Jannat"/>
    <s v="Terra Johannis et Johannis de la Garta"/>
    <m/>
    <m/>
    <m/>
    <m/>
  </r>
  <r>
    <n v="1302"/>
    <s v="Petrus"/>
    <x v="20"/>
    <s v="H"/>
    <n v="1343"/>
    <s v="Décembre"/>
    <n v="10"/>
    <x v="7"/>
    <m/>
    <s v="Sitam apud Lo Chastanheir de Jannaco"/>
    <m/>
    <m/>
    <m/>
    <m/>
    <m/>
    <m/>
    <m/>
  </r>
  <r>
    <n v="1302"/>
    <s v="Petrus"/>
    <x v="20"/>
    <s v="H"/>
    <n v="1343"/>
    <s v="Décembre"/>
    <n v="10"/>
    <x v="2"/>
    <m/>
    <m/>
    <s v="Domum suum"/>
    <s v="Domo Mathei et Peyroni Palaye de Chastanerio"/>
    <s v="Ouchia Pochaya de Jannat domicelli"/>
    <s v="Croza de Hannat"/>
    <m/>
    <m/>
    <m/>
  </r>
  <r>
    <n v="1311"/>
    <s v="Vitalis"/>
    <x v="20"/>
    <s v="H"/>
    <n v="1343"/>
    <s v="Décembre"/>
    <n v="10"/>
    <x v="7"/>
    <m/>
    <s v="Sitam apud Chastanheir de Jannac"/>
    <m/>
    <m/>
    <m/>
    <m/>
    <m/>
    <m/>
    <m/>
  </r>
  <r>
    <n v="1311"/>
    <s v="Vitalis"/>
    <x v="20"/>
    <s v="H"/>
    <n v="1343"/>
    <s v="Décembre"/>
    <n v="10"/>
    <x v="2"/>
    <m/>
    <s v="Sitam in loco de Chastanheir de Jannac"/>
    <s v="Domum suum"/>
    <s v="Orto Mathei et Peyrononi Palayas de Jananc"/>
    <m/>
    <m/>
    <m/>
    <m/>
    <m/>
  </r>
  <r>
    <n v="1502"/>
    <s v="Luca"/>
    <x v="21"/>
    <s v="F"/>
    <n v="1342"/>
    <s v="Février"/>
    <s v="?"/>
    <x v="45"/>
    <s v="Del Maset"/>
    <m/>
    <s v="Tenemento de Villa Longia"/>
    <s v="Aqua Linionis"/>
    <s v="Calma de Las Penas"/>
    <s v="Calma vocata Lomares Fornes"/>
    <m/>
    <m/>
    <s v="Quod est perm[-] cum dominus de Lanarena"/>
  </r>
  <r>
    <n v="451"/>
    <s v="Vitalis"/>
    <x v="22"/>
    <s v="H"/>
    <n v="1343"/>
    <s v="Avril"/>
    <n v="9"/>
    <x v="13"/>
    <m/>
    <s v="Sitas apud le Mont St Marci"/>
    <m/>
    <m/>
    <m/>
    <m/>
    <m/>
    <m/>
    <m/>
  </r>
  <r>
    <n v="451"/>
    <s v="Vitalis"/>
    <x v="22"/>
    <s v="H"/>
    <n v="1343"/>
    <s v="Avril"/>
    <n v="9"/>
    <x v="6"/>
    <m/>
    <s v="Territorium del Mont"/>
    <s v="Terra claustre de Tensano prout pretenditur via que vadit versus Masalibrant de loco Tensani"/>
    <s v="Terra hominum de Mendigalas"/>
    <s v="Terra heredum Mathei Chaluent de Mendigolas"/>
    <s v="Territorio del Mastortet"/>
    <s v="Territorio de Paulhat"/>
    <m/>
    <m/>
  </r>
  <r>
    <n v="461"/>
    <s v="Johanes"/>
    <x v="22"/>
    <s v="H"/>
    <n v="1343"/>
    <s v="Avril"/>
    <n v="9"/>
    <x v="7"/>
    <m/>
    <s v="Apud Lemont"/>
    <m/>
    <m/>
    <m/>
    <m/>
    <m/>
    <m/>
    <m/>
  </r>
  <r>
    <n v="461"/>
    <s v="Johanes"/>
    <x v="22"/>
    <s v="H"/>
    <n v="1343"/>
    <s v="Avril"/>
    <n v="9"/>
    <x v="13"/>
    <m/>
    <s v="Apud Lemont"/>
    <m/>
    <m/>
    <m/>
    <m/>
    <m/>
    <m/>
    <m/>
  </r>
  <r>
    <n v="481"/>
    <s v="Michael"/>
    <x v="22"/>
    <s v="H"/>
    <n v="1343"/>
    <s v="Avril"/>
    <n v="10"/>
    <x v="46"/>
    <s v="Prati Soleyra"/>
    <s v="Territorio de Paulhac"/>
    <s v="calma vocata Chalm Naal"/>
    <s v="Terra Poncii de Paulhac"/>
    <s v="Prato liberorum Johanis de Paulhac"/>
    <m/>
    <m/>
    <m/>
    <m/>
  </r>
  <r>
    <n v="511"/>
    <s v="Johanes"/>
    <x v="22"/>
    <s v="H"/>
    <n v="1343"/>
    <s v="Avril"/>
    <n v="11"/>
    <x v="6"/>
    <m/>
    <s v="Locus de Mundo"/>
    <s v="Territorio de Paulhac"/>
    <s v="Teritorio Mansi Corter"/>
    <s v="Terra claustre de Tensano"/>
    <s v="Terra homium de Mendigalas"/>
    <m/>
    <m/>
    <m/>
  </r>
  <r>
    <n v="521"/>
    <s v="Gregorius"/>
    <x v="22"/>
    <s v="H"/>
    <n v="1343"/>
    <s v="Avril"/>
    <n v="23"/>
    <x v="1"/>
    <m/>
    <s v="Apud Masalibrant"/>
    <m/>
    <m/>
    <m/>
    <m/>
    <m/>
    <m/>
    <m/>
  </r>
  <r>
    <n v="761"/>
    <s v="Bonafides"/>
    <x v="23"/>
    <s v="H"/>
    <n v="1343"/>
    <s v="Mai"/>
    <n v="14"/>
    <x v="1"/>
    <m/>
    <s v="Sitas apud Lo Sape"/>
    <m/>
    <m/>
    <m/>
    <m/>
    <m/>
    <m/>
    <m/>
  </r>
  <r>
    <n v="761"/>
    <s v="Bonafides"/>
    <x v="23"/>
    <s v="H"/>
    <n v="1343"/>
    <s v="Mai"/>
    <n v="14"/>
    <x v="6"/>
    <m/>
    <s v="Loco et territorio Del Sape"/>
    <s v="Passacgio de Ruppe Corba"/>
    <s v="Itinere publico quo itur de Monte de Marz versus Anicium"/>
    <s v="Itinere quo itur de Vaterena versus Sanctum Evodium"/>
    <s v="Terra de Aulanherio"/>
    <s v="Terra de Maseto"/>
    <m/>
    <m/>
  </r>
  <r>
    <n v="771"/>
    <s v="Matheus"/>
    <x v="23"/>
    <s v="H"/>
    <n v="1343"/>
    <s v="Mai"/>
    <n v="14"/>
    <x v="7"/>
    <m/>
    <s v="Sitam apud Lo Sape"/>
    <m/>
    <m/>
    <m/>
    <m/>
    <m/>
    <m/>
    <m/>
  </r>
  <r>
    <n v="771"/>
    <s v="Matheus"/>
    <x v="23"/>
    <s v="H"/>
    <n v="1343"/>
    <s v="Mai"/>
    <n v="14"/>
    <x v="6"/>
    <m/>
    <s v="Territorio Del Sape"/>
    <s v="Via qui itur de Sancto Evodio versus Lavarena"/>
    <s v="Terra de Aulanherio"/>
    <s v="Via qua itur de Seronte de Martz versus Anicum"/>
    <m/>
    <m/>
    <m/>
    <m/>
  </r>
  <r>
    <n v="781"/>
    <s v="Petrus"/>
    <x v="23"/>
    <s v="H"/>
    <n v="1343"/>
    <s v="Mai"/>
    <n v="14"/>
    <x v="1"/>
    <m/>
    <s v="Sitas apud Lo Sape"/>
    <m/>
    <m/>
    <m/>
    <m/>
    <m/>
    <m/>
    <m/>
  </r>
  <r>
    <n v="781"/>
    <s v="Petrus"/>
    <x v="23"/>
    <s v="H"/>
    <n v="1343"/>
    <s v="Mai"/>
    <n v="14"/>
    <x v="6"/>
    <m/>
    <s v="Territorio Del Sape"/>
    <s v="Via qua itur del Pont de Marcii versus Anicium"/>
    <s v="Itinere publico per quod itur de Sancto Evodio versus La Verena"/>
    <s v="Territorio de Aulanherio"/>
    <m/>
    <m/>
    <m/>
    <m/>
  </r>
  <r>
    <n v="1293"/>
    <s v="Petrus"/>
    <x v="24"/>
    <s v="H"/>
    <n v="1343"/>
    <s v="Décembre"/>
    <n v="10"/>
    <x v="0"/>
    <m/>
    <s v="Sitam in territorio vocato del Verne prope de desayas"/>
    <s v="Terra Guillermet de Boscheto"/>
    <s v="Terra Petri Ponscii"/>
    <m/>
    <m/>
    <m/>
    <m/>
    <m/>
  </r>
  <r>
    <n v="1293"/>
    <s v="Petrus"/>
    <x v="24"/>
    <s v="H"/>
    <n v="1343"/>
    <s v="Décembre"/>
    <n v="10"/>
    <x v="0"/>
    <m/>
    <s v="Sitam in territorio vocato de Baschicra"/>
    <s v="Terra Vitalis del Beal de Rivo Corto"/>
    <m/>
    <m/>
    <m/>
    <m/>
    <m/>
    <m/>
  </r>
  <r>
    <n v="1432"/>
    <s v="Berthi + Bonafides, Peyronetus, Guigo et Vialonus + Matheus et Johanenus"/>
    <x v="24"/>
    <s v="H"/>
    <n v="1343"/>
    <s v="Février"/>
    <n v="18"/>
    <x v="47"/>
    <s v="De Verneto"/>
    <m/>
    <s v="Terra priotatus mansi Canillari (a parte superiori)"/>
    <s v="Petia terre stephani de Verneto appelata de Las Vesseiras"/>
    <s v="A pede dicti chastanerii cum terra Bonafidei de Verneto et orto Clementis de Verneto condam"/>
    <s v="Prato Bonafidei et Petri de Verneto fratrum"/>
    <m/>
    <m/>
    <s v="Pro indiviso cum viro nobili et pontenti domino Jaucerando domino Sancti Desiderii et castri de Mastra milite"/>
  </r>
  <r>
    <n v="1491"/>
    <s v="Johannes + Nicholaus et Petris"/>
    <x v="25"/>
    <s v="H"/>
    <n v="1342"/>
    <s v="Février"/>
    <s v="?"/>
    <x v="8"/>
    <s v="De Lalo"/>
    <s v="Sitam in territorio de Bramafam"/>
    <s v="Petia de Corteso del Monteilha"/>
    <s v="Calma de Feudo"/>
    <m/>
    <m/>
    <m/>
    <m/>
    <m/>
  </r>
  <r>
    <n v="1491"/>
    <s v="Johannes + Nicholaus et Petris"/>
    <x v="25"/>
    <s v="H"/>
    <n v="1342"/>
    <s v="Février"/>
    <s v="?"/>
    <x v="40"/>
    <s v="Bramafam"/>
    <m/>
    <s v="Strata [-] de Hugonis versus Lanastres"/>
    <s v="Prato de La Monda"/>
    <m/>
    <m/>
    <m/>
    <m/>
    <m/>
  </r>
  <r>
    <n v="1491"/>
    <s v="Johannes + Nicholaus et Petris"/>
    <x v="25"/>
    <s v="H"/>
    <n v="1342"/>
    <s v="Février"/>
    <s v="?"/>
    <x v="40"/>
    <s v="Fonte Bono"/>
    <m/>
    <s v="Via per quam itur de Champanhas versus Lomonteilh"/>
    <s v="Terra sua"/>
    <m/>
    <m/>
    <m/>
    <m/>
    <m/>
  </r>
  <r>
    <n v="1491"/>
    <s v="Johannes + Nicholaus et Petris"/>
    <x v="25"/>
    <s v="H"/>
    <n v="1342"/>
    <s v="Février"/>
    <s v="?"/>
    <x v="4"/>
    <s v="La Cumba"/>
    <m/>
    <s v="Terra de grangio de Champanhas"/>
    <m/>
    <m/>
    <m/>
    <m/>
    <m/>
    <m/>
  </r>
  <r>
    <n v="1491"/>
    <s v="Johannes + Nicholaus et Petris"/>
    <x v="25"/>
    <s v="H"/>
    <n v="1342"/>
    <s v="Février"/>
    <s v="?"/>
    <x v="4"/>
    <m/>
    <s v="Situm in territorio del Feo"/>
    <s v="Pratis Johannis de Feudo"/>
    <s v="Calma de Feudo"/>
    <m/>
    <m/>
    <m/>
    <m/>
    <m/>
  </r>
  <r>
    <n v="1491"/>
    <s v="Johannes + Nicholaus et Petris"/>
    <x v="25"/>
    <s v="H"/>
    <n v="1342"/>
    <s v="Février"/>
    <s v="?"/>
    <x v="15"/>
    <s v="Del Masones"/>
    <m/>
    <s v="Prato de Champanhas"/>
    <s v="Grangio de Champanhas"/>
    <m/>
    <m/>
    <m/>
    <m/>
    <m/>
  </r>
  <r>
    <n v="422"/>
    <s v="Michael"/>
    <x v="26"/>
    <s v="H"/>
    <n v="1343"/>
    <s v="Mars"/>
    <n v="29"/>
    <x v="1"/>
    <m/>
    <s v="Sitas in loco Dens Tananos"/>
    <m/>
    <m/>
    <m/>
    <m/>
    <m/>
    <m/>
    <m/>
  </r>
  <r>
    <n v="422"/>
    <s v="Michael"/>
    <x v="26"/>
    <s v="H"/>
    <n v="1343"/>
    <s v="Mars"/>
    <n v="29"/>
    <x v="48"/>
    <m/>
    <s v="Dens Tananos"/>
    <s v="Territorio de Ganesto et Pratis de Ramigius"/>
    <s v="Pratis et petus loci de Fila Trama et territorio grangiagii de Chauleto"/>
    <m/>
    <m/>
    <m/>
    <m/>
    <m/>
  </r>
  <r>
    <n v="422"/>
    <s v="Michael"/>
    <x v="26"/>
    <s v="H"/>
    <n v="1343"/>
    <s v="Mars"/>
    <n v="29"/>
    <x v="49"/>
    <s v="Podio Marci"/>
    <m/>
    <s v="Terra prioratus de Chambone"/>
    <s v="Terra grangiagii de Chauleto"/>
    <s v="Terra domini aniciensis episcopi"/>
    <m/>
    <m/>
    <m/>
    <m/>
  </r>
  <r>
    <n v="1773"/>
    <s v="Vitalis"/>
    <x v="27"/>
    <s v="H"/>
    <n v="1343"/>
    <s v="Décembre"/>
    <n v="8"/>
    <x v="50"/>
    <m/>
    <s v="Bealis molendini sui de la Terrassa vocato de Molinot"/>
    <m/>
    <m/>
    <m/>
    <m/>
    <m/>
    <m/>
    <s v="Accepit et firmatur in terra domum de Devesseto"/>
  </r>
  <r>
    <n v="1102"/>
    <s v="Jacobus"/>
    <x v="28"/>
    <s v="H"/>
    <n v="1380"/>
    <s v="Novembre"/>
    <n v="8"/>
    <x v="51"/>
    <m/>
    <s v="Situatum in loco de Fayno"/>
    <s v="Domo claustrali ecclesie de Fayno"/>
    <s v="Ranco castri de Fayno quadam cariere media"/>
    <s v="Aliis pedis quas teneo a domino meo de Fayno"/>
    <m/>
    <m/>
    <m/>
    <m/>
  </r>
  <r>
    <n v="1521"/>
    <s v="Johannes"/>
    <x v="29"/>
    <s v="H"/>
    <n v="1342"/>
    <s v="Février"/>
    <s v="?"/>
    <x v="45"/>
    <s v="De Feudo"/>
    <m/>
    <s v="Terra grangiacgii de Champanhas"/>
    <s v="Terra mansi d'Ugonis"/>
    <s v="Territorio del Sotol"/>
    <s v="Territorio de Crosodo"/>
    <s v="Territorio del Monteil"/>
    <m/>
    <m/>
  </r>
  <r>
    <n v="441"/>
    <s v="Johannes"/>
    <x v="30"/>
    <s v="H"/>
    <n v="1343"/>
    <s v="Avril"/>
    <n v="2"/>
    <x v="13"/>
    <m/>
    <s v="Sitam apud Fila Trama"/>
    <m/>
    <m/>
    <m/>
    <m/>
    <m/>
    <m/>
    <m/>
  </r>
  <r>
    <n v="441"/>
    <s v="Johannes"/>
    <x v="30"/>
    <s v="H"/>
    <n v="1343"/>
    <s v="Avril"/>
    <n v="2"/>
    <x v="29"/>
    <m/>
    <s v="Sitos in loco de Fila Trama"/>
    <m/>
    <m/>
    <m/>
    <m/>
    <m/>
    <m/>
    <m/>
  </r>
  <r>
    <n v="441"/>
    <s v="Johannes"/>
    <x v="30"/>
    <s v="H"/>
    <n v="1343"/>
    <s v="Avril"/>
    <n v="2"/>
    <x v="40"/>
    <m/>
    <s v="Situm in dicto loco (de Fila Trama)"/>
    <s v="Dicti domibus (de Fila Trama)"/>
    <s v="Tenemento de Chauleto"/>
    <s v="Tenemento Michaelis Tanani"/>
    <m/>
    <m/>
    <m/>
    <m/>
  </r>
  <r>
    <n v="441"/>
    <s v="Johannes"/>
    <x v="30"/>
    <s v="H"/>
    <n v="1343"/>
    <s v="Avril"/>
    <n v="2"/>
    <x v="24"/>
    <m/>
    <s v="Sita in dicto tenemento (de Fila Trama)"/>
    <s v="Dicto Garaito"/>
    <s v="Pratis dicti Michaelis Tanani"/>
    <s v="Terra dominorum veteris Armati"/>
    <s v="Pratis de romigerus quodam rivo medio"/>
    <m/>
    <m/>
    <m/>
  </r>
  <r>
    <n v="441"/>
    <s v="Johannes"/>
    <x v="30"/>
    <s v="H"/>
    <n v="1343"/>
    <s v="Avril"/>
    <n v="2"/>
    <x v="8"/>
    <s v="Podio Marci"/>
    <m/>
    <m/>
    <m/>
    <m/>
    <m/>
    <m/>
    <m/>
    <s v="In vilanagium"/>
  </r>
  <r>
    <n v="1402"/>
    <s v="Mondonus"/>
    <x v="31"/>
    <s v="H"/>
    <n v="1342"/>
    <s v="Mai"/>
    <n v="23"/>
    <x v="4"/>
    <m/>
    <m/>
    <s v="Terris castri Devesseti"/>
    <s v="Terra catri Veteri Sarmati"/>
    <s v="Terri castri Devesseti"/>
    <m/>
    <m/>
    <m/>
    <m/>
  </r>
  <r>
    <n v="1402"/>
    <s v="Mondonus"/>
    <x v="31"/>
    <s v="H"/>
    <n v="1342"/>
    <s v="Mai"/>
    <n v="23"/>
    <x v="52"/>
    <m/>
    <m/>
    <s v="Terris castri Devesseti"/>
    <s v="Terra catri Veteri Sarmati"/>
    <s v="Terri castri Devesseti"/>
    <m/>
    <m/>
    <m/>
    <m/>
  </r>
  <r>
    <n v="1402"/>
    <s v="Mondonus"/>
    <x v="31"/>
    <s v="H"/>
    <n v="1342"/>
    <s v="Mai"/>
    <n v="23"/>
    <x v="4"/>
    <s v="De Manso de Sucoo"/>
    <m/>
    <s v="Terra Beatris de Macello"/>
    <s v="Terra qua tenet a domino Bestid"/>
    <s v="Prato et terris suis"/>
    <m/>
    <m/>
    <m/>
    <m/>
  </r>
  <r>
    <n v="1402"/>
    <s v="Mondonus"/>
    <x v="31"/>
    <s v="H"/>
    <n v="1342"/>
    <s v="Mai"/>
    <n v="23"/>
    <x v="15"/>
    <s v="De Manso de Sucoo"/>
    <m/>
    <s v="Terra Beatris de Macello"/>
    <s v="Terra qua tenet a domino Bestid"/>
    <s v="Prato et terris suis"/>
    <m/>
    <m/>
    <m/>
    <m/>
  </r>
  <r>
    <n v="1861"/>
    <s v="Maigaros"/>
    <x v="31"/>
    <s v="F"/>
    <n v="1344"/>
    <s v="Mai"/>
    <n v="27"/>
    <x v="10"/>
    <s v="Chasaletz et Lagrandata"/>
    <m/>
    <s v="Terra ecclesie Sancti Agrippani quam tenet dicta Maigaros"/>
    <m/>
    <s v="Itinere publico per quod itur de Sancto Agrippano versus Chambonem"/>
    <s v="Terra hominum de Calma"/>
    <s v="Terra dominorum veteri Sarmati"/>
    <m/>
    <m/>
  </r>
  <r>
    <n v="1861"/>
    <s v="Maigaros"/>
    <x v="31"/>
    <s v="F"/>
    <n v="1344"/>
    <s v="Mai"/>
    <n v="27"/>
    <x v="11"/>
    <s v="Flac Maor"/>
    <m/>
    <s v="Manso suo"/>
    <s v="Confimtionibus supradictis"/>
    <m/>
    <m/>
    <m/>
    <m/>
    <s v="Pro indiviso cum hominibus de Calma + circumcirca"/>
  </r>
  <r>
    <n v="1711"/>
    <s v="Johennes"/>
    <x v="32"/>
    <s v="H"/>
    <n v="1343"/>
    <s v="Avril"/>
    <n v="16"/>
    <x v="3"/>
    <s v="Las Cortas"/>
    <m/>
    <m/>
    <m/>
    <m/>
    <m/>
    <m/>
    <m/>
    <m/>
  </r>
  <r>
    <n v="1711"/>
    <s v="Johennes"/>
    <x v="32"/>
    <s v="H"/>
    <n v="1343"/>
    <s v="Avril"/>
    <n v="16"/>
    <x v="3"/>
    <s v="Del Fayteir"/>
    <m/>
    <m/>
    <m/>
    <m/>
    <m/>
    <m/>
    <m/>
    <m/>
  </r>
  <r>
    <n v="1711"/>
    <s v="Johennes"/>
    <x v="32"/>
    <s v="H"/>
    <n v="1343"/>
    <s v="Avril"/>
    <n v="16"/>
    <x v="3"/>
    <s v="Del Clot"/>
    <m/>
    <m/>
    <m/>
    <m/>
    <m/>
    <m/>
    <m/>
    <m/>
  </r>
  <r>
    <n v="1711"/>
    <s v="Johennes"/>
    <x v="32"/>
    <s v="H"/>
    <n v="1343"/>
    <s v="Avril"/>
    <n v="16"/>
    <x v="3"/>
    <s v="La Veiruna"/>
    <m/>
    <m/>
    <m/>
    <m/>
    <m/>
    <m/>
    <m/>
    <m/>
  </r>
  <r>
    <n v="1711"/>
    <s v="Johennes"/>
    <x v="32"/>
    <s v="H"/>
    <n v="1343"/>
    <s v="Avril"/>
    <n v="16"/>
    <x v="3"/>
    <s v="Dens Arnafenes"/>
    <m/>
    <m/>
    <m/>
    <m/>
    <m/>
    <m/>
    <m/>
    <m/>
  </r>
  <r>
    <n v="1711"/>
    <s v="Johennes"/>
    <x v="32"/>
    <s v="H"/>
    <n v="1343"/>
    <s v="Avril"/>
    <n v="16"/>
    <x v="3"/>
    <s v="Sechayro"/>
    <m/>
    <m/>
    <m/>
    <m/>
    <m/>
    <m/>
    <m/>
    <m/>
  </r>
  <r>
    <n v="1711"/>
    <s v="Johennes"/>
    <x v="32"/>
    <s v="H"/>
    <n v="1343"/>
    <s v="Avril"/>
    <n v="16"/>
    <x v="3"/>
    <m/>
    <s v="Sitam in loco del Sechairo"/>
    <m/>
    <m/>
    <m/>
    <m/>
    <m/>
    <m/>
    <m/>
  </r>
  <r>
    <n v="1711"/>
    <s v="Johennes"/>
    <x v="32"/>
    <s v="H"/>
    <n v="1343"/>
    <s v="Avril"/>
    <n v="16"/>
    <x v="3"/>
    <m/>
    <s v="Sitam enpra Ferrant"/>
    <m/>
    <m/>
    <m/>
    <m/>
    <m/>
    <m/>
    <m/>
  </r>
  <r>
    <n v="1711"/>
    <s v="Johennes"/>
    <x v="32"/>
    <s v="H"/>
    <n v="1343"/>
    <s v="Avril"/>
    <n v="16"/>
    <x v="3"/>
    <s v="Pra [-]rant"/>
    <m/>
    <m/>
    <m/>
    <m/>
    <m/>
    <m/>
    <m/>
    <m/>
  </r>
  <r>
    <n v="1711"/>
    <s v="Johennes"/>
    <x v="32"/>
    <s v="H"/>
    <n v="1343"/>
    <s v="Avril"/>
    <n v="16"/>
    <x v="53"/>
    <m/>
    <s v="In territorio de Lastortas"/>
    <m/>
    <m/>
    <m/>
    <m/>
    <m/>
    <m/>
    <m/>
  </r>
  <r>
    <n v="1711"/>
    <s v="Johennes"/>
    <x v="32"/>
    <s v="H"/>
    <n v="1343"/>
    <s v="Avril"/>
    <n v="16"/>
    <x v="3"/>
    <s v="Dens Caires"/>
    <m/>
    <m/>
    <m/>
    <m/>
    <m/>
    <m/>
    <m/>
    <m/>
  </r>
  <r>
    <n v="1711"/>
    <s v="Johennes"/>
    <x v="32"/>
    <s v="H"/>
    <n v="1343"/>
    <s v="Avril"/>
    <n v="16"/>
    <x v="3"/>
    <s v="Del Praet"/>
    <m/>
    <m/>
    <m/>
    <m/>
    <m/>
    <m/>
    <m/>
    <m/>
  </r>
  <r>
    <n v="1711"/>
    <s v="Johennes"/>
    <x v="32"/>
    <s v="H"/>
    <n v="1343"/>
    <s v="Avril"/>
    <n v="16"/>
    <x v="54"/>
    <m/>
    <s v="Sita in territorio de Chanils"/>
    <m/>
    <m/>
    <m/>
    <m/>
    <m/>
    <m/>
    <m/>
  </r>
  <r>
    <n v="1711"/>
    <s v="Johennes"/>
    <x v="32"/>
    <s v="H"/>
    <n v="1343"/>
    <s v="Avril"/>
    <n v="16"/>
    <x v="33"/>
    <s v="Del Raynaudescis"/>
    <m/>
    <m/>
    <m/>
    <m/>
    <m/>
    <m/>
    <m/>
    <m/>
  </r>
  <r>
    <n v="1711"/>
    <s v="Johennes"/>
    <x v="32"/>
    <s v="H"/>
    <n v="1343"/>
    <s v="Avril"/>
    <n v="16"/>
    <x v="33"/>
    <s v="Las Gotas"/>
    <m/>
    <m/>
    <m/>
    <m/>
    <m/>
    <m/>
    <m/>
    <m/>
  </r>
  <r>
    <n v="1711"/>
    <s v="Johennes"/>
    <x v="32"/>
    <s v="H"/>
    <n v="1343"/>
    <s v="Avril"/>
    <n v="16"/>
    <x v="4"/>
    <s v="Del Sant"/>
    <m/>
    <m/>
    <m/>
    <m/>
    <m/>
    <m/>
    <m/>
    <m/>
  </r>
  <r>
    <n v="1711"/>
    <s v="Johennes"/>
    <x v="32"/>
    <s v="H"/>
    <n v="1343"/>
    <s v="Avril"/>
    <n v="16"/>
    <x v="4"/>
    <s v="De Las Conts"/>
    <m/>
    <m/>
    <m/>
    <m/>
    <m/>
    <m/>
    <m/>
    <m/>
  </r>
  <r>
    <n v="1711"/>
    <s v="Johennes"/>
    <x v="32"/>
    <s v="H"/>
    <n v="1343"/>
    <s v="Avril"/>
    <n v="16"/>
    <x v="4"/>
    <s v="Del Praet"/>
    <m/>
    <m/>
    <m/>
    <m/>
    <m/>
    <m/>
    <m/>
    <m/>
  </r>
  <r>
    <n v="1711"/>
    <s v="Johennes"/>
    <x v="32"/>
    <s v="H"/>
    <n v="1343"/>
    <s v="Avril"/>
    <n v="16"/>
    <x v="6"/>
    <m/>
    <s v="Sita in territorio de Chanils"/>
    <s v="Territorio de Villalonia"/>
    <s v="Grangiacgio de Champanhas"/>
    <s v="Grangiacgio Dens Forins"/>
    <m/>
    <m/>
    <m/>
    <m/>
  </r>
  <r>
    <n v="1112"/>
    <s v="Jacobus"/>
    <x v="33"/>
    <s v="H"/>
    <n v="1343"/>
    <s v="Juin"/>
    <s v="Die Jonis in festo beatorum Johannis et Pauli apostolorum"/>
    <x v="4"/>
    <s v="Del Rioni de Gorgoras"/>
    <m/>
    <s v="Petia vocatorum loce Chamalens"/>
    <s v="Nuo sol"/>
    <m/>
    <m/>
    <m/>
    <m/>
    <m/>
  </r>
  <r>
    <n v="1112"/>
    <s v="Jacobus"/>
    <x v="33"/>
    <s v="H"/>
    <n v="1343"/>
    <s v="Juin"/>
    <s v="Die Jonis in festo beatorum Johannis et Pauli apostolorum"/>
    <x v="3"/>
    <s v="Del Fornet"/>
    <m/>
    <s v="Nemore de Laschuessas Dens Chanalens"/>
    <m/>
    <m/>
    <m/>
    <m/>
    <m/>
    <m/>
  </r>
  <r>
    <n v="1112"/>
    <s v="Jacobus"/>
    <x v="33"/>
    <s v="H"/>
    <n v="1343"/>
    <s v="Juin"/>
    <s v="Die Jonis in festo beatorum Johannis et Pauli apostolorum"/>
    <x v="3"/>
    <s v="Laschuessas"/>
    <m/>
    <s v="Terra domini Castenoni"/>
    <s v="Petia Poncii Bonichonis"/>
    <m/>
    <m/>
    <m/>
    <m/>
    <m/>
  </r>
  <r>
    <n v="1121"/>
    <s v="Jacobus et Poncius + Johannes, Girandis et Bertrandus + Guillermus + Michaela + Peyrononus et Blancha"/>
    <x v="33"/>
    <s v="H"/>
    <n v="1343"/>
    <s v="Juin"/>
    <n v="29"/>
    <x v="45"/>
    <s v="De Lascheressas"/>
    <s v="Situm in territorio de Gorgoras"/>
    <s v="Terra castri Monstisregalis (a parte superiori) prout ibidem terrirri et mete platate sunt et quidam fons nastens de super juxta quedam runilium terras predictas dundentes"/>
    <s v="Terra nobilis Guillermi de Ronugius domicelli (a parte occidentalis)"/>
    <s v="Terra nobili domini Guillermi domini castri de Castronovo militis (a parte inferiori) prout circumcircam ibidem mete sunt fixe"/>
    <m/>
    <m/>
    <m/>
    <m/>
  </r>
  <r>
    <n v="1121"/>
    <s v="Jacobus et Poncius + Johannes, Girandis et Bertrandus + Guillermus + Michaela + Peyrononus et Blancha"/>
    <x v="33"/>
    <s v="H"/>
    <n v="1343"/>
    <s v="Juin"/>
    <n v="29"/>
    <x v="45"/>
    <s v="Del Lechare"/>
    <s v="Situm in territorio de Gorgoras"/>
    <s v="Terra domini Guillermi domini de Castronovo militis"/>
    <s v="Terra domini Guillermi domini de Castronovo militis"/>
    <s v="Terra castri Montisregalis"/>
    <m/>
    <m/>
    <m/>
    <m/>
  </r>
  <r>
    <n v="1123"/>
    <s v="Peyrononus"/>
    <x v="33"/>
    <s v="H"/>
    <n v="1343"/>
    <s v="Juin"/>
    <n v="29"/>
    <x v="4"/>
    <m/>
    <m/>
    <m/>
    <m/>
    <m/>
    <m/>
    <m/>
    <m/>
    <s v="Aquisito per patrem suum a Guillermo Chanalerii"/>
  </r>
  <r>
    <n v="1611"/>
    <s v="Petrus"/>
    <x v="34"/>
    <s v="H"/>
    <n v="1343"/>
    <s v="Avril"/>
    <n v="4"/>
    <x v="15"/>
    <s v="Besseta Bernencha"/>
    <s v="Sita in loco de Lermet"/>
    <s v="Besseta Columbete de Sancto Agrippano"/>
    <s v="Passata de Lermet rocata del Rio del Passet"/>
    <m/>
    <m/>
    <m/>
    <m/>
    <m/>
  </r>
  <r>
    <n v="1611"/>
    <s v="Petrus"/>
    <x v="34"/>
    <s v="H"/>
    <n v="1343"/>
    <s v="Avril"/>
    <n v="4"/>
    <x v="15"/>
    <m/>
    <s v="Situm in territorio de Lermet"/>
    <s v="Besseta Michaelis de Lermeto"/>
    <m/>
    <m/>
    <m/>
    <m/>
    <m/>
    <m/>
  </r>
  <r>
    <n v="1611"/>
    <s v="Petrus"/>
    <x v="34"/>
    <s v="H"/>
    <n v="1343"/>
    <s v="Avril"/>
    <n v="4"/>
    <x v="8"/>
    <m/>
    <s v="Sitam in territorio de Lermet"/>
    <s v="Terra Gregorii Blachonis de Raschassac"/>
    <s v="Terra heredum Guillermi de Hereone"/>
    <m/>
    <m/>
    <m/>
    <m/>
    <m/>
  </r>
  <r>
    <n v="1611"/>
    <s v="Petrus"/>
    <x v="34"/>
    <s v="H"/>
    <n v="1343"/>
    <s v="Avril"/>
    <n v="4"/>
    <x v="55"/>
    <s v="Prala"/>
    <s v="Site in territorio de Hereone"/>
    <s v="Terra quem tenent ipse Logues ab ecclesia Sancti Agrippavi"/>
    <s v="Terra Guigonis de Pontem"/>
    <m/>
    <m/>
    <m/>
    <m/>
    <m/>
  </r>
  <r>
    <n v="1611"/>
    <s v="Petrus"/>
    <x v="34"/>
    <s v="H"/>
    <n v="1343"/>
    <s v="Avril"/>
    <n v="4"/>
    <x v="56"/>
    <s v="Sima de Prala"/>
    <m/>
    <s v="Terra Guigonis de Ponte"/>
    <s v="Terra Petri quam tenet a ecclesia Sancti Agrippavi"/>
    <m/>
    <m/>
    <m/>
    <m/>
    <m/>
  </r>
  <r>
    <n v="1611"/>
    <s v="Petrus"/>
    <x v="34"/>
    <s v="H"/>
    <n v="1343"/>
    <s v="Avril"/>
    <n v="4"/>
    <x v="57"/>
    <s v="Meyena de Prala"/>
    <m/>
    <s v="Prato Guigonis de Ponte"/>
    <s v="Terra Peyroneti de Monreont"/>
    <m/>
    <m/>
    <m/>
    <m/>
    <m/>
  </r>
  <r>
    <n v="1611"/>
    <s v="Petrus"/>
    <x v="34"/>
    <s v="H"/>
    <n v="1343"/>
    <s v="Avril"/>
    <n v="4"/>
    <x v="55"/>
    <s v="Faycie Soteirana de Prala"/>
    <m/>
    <s v="Prato quod tenet ecclesia Sancti Agreppavi"/>
    <m/>
    <m/>
    <m/>
    <m/>
    <m/>
    <m/>
  </r>
  <r>
    <n v="1611"/>
    <s v="Petrus"/>
    <x v="34"/>
    <s v="H"/>
    <n v="1343"/>
    <s v="Avril"/>
    <n v="4"/>
    <x v="58"/>
    <s v="La Cumbeta"/>
    <m/>
    <s v="Pratis Peyroneti de Monreont"/>
    <m/>
    <m/>
    <m/>
    <m/>
    <m/>
    <m/>
  </r>
  <r>
    <n v="1621"/>
    <s v="Ariberius + Petris"/>
    <x v="34"/>
    <s v="H"/>
    <n v="1343"/>
    <s v="Avril"/>
    <n v="4"/>
    <x v="59"/>
    <s v="Dens Vernet"/>
    <m/>
    <s v="Pasturale magistri Ariberii et Armandoni Ariberii et eius fratrum"/>
    <s v="Nemus magistri Ariberii et Armandoni Ariberii et eius fratrum"/>
    <s v="Terra Durandi de Aulanherio"/>
    <s v="Itinere publico per quod itur de Sancto Agrippano versus Lo Pereir"/>
    <m/>
    <m/>
    <m/>
  </r>
  <r>
    <n v="1621"/>
    <s v="Ariberius + Petris"/>
    <x v="34"/>
    <s v="H"/>
    <n v="1343"/>
    <s v="Avril"/>
    <n v="4"/>
    <x v="15"/>
    <s v="Dens Vernet"/>
    <m/>
    <s v="Pasturale magistri Ariberii et Armandoni Ariberii et eius fratrum"/>
    <s v="Nemus magistri Ariberii et Armandoni Ariberii et eius fratrum"/>
    <s v="Terra Durandi de Aulanherio"/>
    <s v="Itinere publico per quod itur de Sancto Agrippano versus Lo Pereir"/>
    <m/>
    <m/>
    <m/>
  </r>
  <r>
    <n v="1622"/>
    <s v="Petrus"/>
    <x v="34"/>
    <s v="H"/>
    <n v="1343"/>
    <s v="Avril"/>
    <n v="4"/>
    <x v="0"/>
    <m/>
    <m/>
    <m/>
    <m/>
    <m/>
    <m/>
    <m/>
    <m/>
    <s v="Quam aquisivit Mathena eius uxoris ex causa cambii facti inter eam et Magistre Guillermi Ariberii notarii"/>
  </r>
  <r>
    <n v="1622"/>
    <s v="Petrus"/>
    <x v="34"/>
    <s v="H"/>
    <n v="1343"/>
    <s v="Avril"/>
    <n v="4"/>
    <x v="3"/>
    <m/>
    <s v="Sita in territorio Dens Vernes"/>
    <s v="Prato de Lalier dicti magistri Guillermi"/>
    <s v="Itinere per quod itur de Hereone versus Laulanheir"/>
    <m/>
    <m/>
    <m/>
    <m/>
    <m/>
  </r>
  <r>
    <n v="1623"/>
    <s v="Ariberius"/>
    <x v="34"/>
    <s v="H"/>
    <n v="1343"/>
    <s v="Avril"/>
    <n v="4"/>
    <x v="0"/>
    <m/>
    <s v="Sitam in territorio del Serre de Hereone"/>
    <s v="Terra Peironeti de Mon Reont"/>
    <s v="Terra liberorum Poncii de Hereone condam"/>
    <m/>
    <m/>
    <m/>
    <m/>
    <m/>
  </r>
  <r>
    <n v="1681"/>
    <s v="Guillermus"/>
    <x v="34"/>
    <s v="H"/>
    <n v="1343"/>
    <s v="Avril"/>
    <n v="16"/>
    <x v="4"/>
    <s v="De Bessea Meiana"/>
    <m/>
    <s v="Terra de Las Posenas qua est johanete filie Peyruchonis de Hereone"/>
    <m/>
    <m/>
    <m/>
    <m/>
    <m/>
    <m/>
  </r>
  <r>
    <n v="1681"/>
    <s v="Guillermus"/>
    <x v="34"/>
    <s v="H"/>
    <n v="1343"/>
    <s v="Avril"/>
    <n v="16"/>
    <x v="15"/>
    <s v="De Bessea Meiana"/>
    <m/>
    <s v="Terra de Las Posenas qua est johanete filie Peyruchonis de Hereone"/>
    <m/>
    <m/>
    <m/>
    <m/>
    <m/>
    <m/>
  </r>
  <r>
    <n v="1681"/>
    <s v="Guillermus"/>
    <x v="34"/>
    <s v="H"/>
    <n v="1343"/>
    <s v="Avril"/>
    <n v="16"/>
    <x v="8"/>
    <s v="Sitam apud Bessetam Binnencha"/>
    <m/>
    <s v="Besseta heredum Johannis de Hereo"/>
    <s v="Terra Peyruchonis de Hereo"/>
    <m/>
    <m/>
    <m/>
    <m/>
    <m/>
  </r>
  <r>
    <n v="1681"/>
    <s v="Guillermus"/>
    <x v="34"/>
    <s v="H"/>
    <n v="1343"/>
    <s v="Avril"/>
    <n v="16"/>
    <x v="15"/>
    <m/>
    <s v="In territorio de Lermet"/>
    <s v="Terra crucis de Lermet qui est uxoris Vitalis Comptoris"/>
    <m/>
    <m/>
    <m/>
    <m/>
    <m/>
    <m/>
  </r>
  <r>
    <n v="1681"/>
    <s v="Guillermus"/>
    <x v="34"/>
    <s v="H"/>
    <n v="1343"/>
    <s v="Avril"/>
    <n v="16"/>
    <x v="60"/>
    <m/>
    <s v="In territorio de Lermet"/>
    <s v="Terra crucis de Lermet qui est uxoris Vitalis Comptoris"/>
    <m/>
    <m/>
    <m/>
    <m/>
    <m/>
    <m/>
  </r>
  <r>
    <n v="1681"/>
    <s v="Guillermus"/>
    <x v="34"/>
    <s v="H"/>
    <n v="1343"/>
    <s v="Avril"/>
    <n v="16"/>
    <x v="34"/>
    <s v="Bel Champ"/>
    <m/>
    <s v="Terra uxoris Vitalis Comptoris"/>
    <s v="Terra Johannis Jarias"/>
    <m/>
    <m/>
    <m/>
    <m/>
    <m/>
  </r>
  <r>
    <n v="1681"/>
    <s v="Guillermus"/>
    <x v="34"/>
    <s v="H"/>
    <n v="1343"/>
    <s v="Avril"/>
    <n v="16"/>
    <x v="27"/>
    <m/>
    <s v="In territorio de Chalninhac"/>
    <s v="Terra Michaelis de Lermet"/>
    <s v="Terra Dens Buracs de Malanal"/>
    <m/>
    <m/>
    <m/>
    <m/>
    <m/>
  </r>
  <r>
    <n v="1813"/>
    <s v="Stephanis"/>
    <x v="34"/>
    <s v="H"/>
    <n v="1343"/>
    <s v="Janvier"/>
    <n v="13"/>
    <x v="61"/>
    <s v="La Cumbeta"/>
    <m/>
    <s v="Prato et terre Peyroneti de Monteretondo"/>
    <s v="Prato Bartholomei Alna"/>
    <m/>
    <m/>
    <m/>
    <m/>
    <m/>
  </r>
  <r>
    <n v="1813"/>
    <s v="Stephanis"/>
    <x v="34"/>
    <s v="H"/>
    <n v="1343"/>
    <s v="Janvier"/>
    <n v="13"/>
    <x v="62"/>
    <s v="Dens Vernes"/>
    <m/>
    <s v="Nemore magistri Guillermi Ariberii"/>
    <s v="Terra de Aulanheno"/>
    <m/>
    <m/>
    <m/>
    <m/>
    <m/>
  </r>
  <r>
    <n v="331"/>
    <s v="Girandus et Martinus"/>
    <x v="35"/>
    <s v="H"/>
    <n v="1343"/>
    <s v="Avril"/>
    <n v="5"/>
    <x v="48"/>
    <m/>
    <s v="De la Boscha"/>
    <s v="Terra de Gardalhac"/>
    <s v="Terra cartina domus Devesseti"/>
    <m/>
    <m/>
    <m/>
    <m/>
    <m/>
  </r>
  <r>
    <n v="331"/>
    <s v="Girandus et Martinus"/>
    <x v="35"/>
    <s v="H"/>
    <n v="1343"/>
    <s v="Avril"/>
    <n v="5"/>
    <x v="45"/>
    <m/>
    <s v="De la Boscha"/>
    <s v="Terra de Gardalhac"/>
    <s v="Terra cartina domus Devesseti"/>
    <m/>
    <m/>
    <m/>
    <m/>
    <m/>
  </r>
  <r>
    <n v="331"/>
    <s v="Girandus et Martinus"/>
    <x v="35"/>
    <s v="H"/>
    <n v="1343"/>
    <s v="Avril"/>
    <n v="5"/>
    <x v="52"/>
    <s v="del Rochaynl"/>
    <m/>
    <m/>
    <m/>
    <m/>
    <m/>
    <m/>
    <m/>
    <m/>
  </r>
  <r>
    <n v="331"/>
    <s v="Girandus et Martinus"/>
    <x v="35"/>
    <s v="H"/>
    <n v="1343"/>
    <s v="Avril"/>
    <n v="5"/>
    <x v="63"/>
    <s v="del Rochaynli"/>
    <m/>
    <m/>
    <m/>
    <m/>
    <m/>
    <m/>
    <m/>
    <m/>
  </r>
  <r>
    <n v="331"/>
    <s v="Girandus et Martinus"/>
    <x v="35"/>
    <s v="H"/>
    <n v="1343"/>
    <s v="Avril"/>
    <n v="5"/>
    <x v="63"/>
    <s v="Las Chalmassas"/>
    <m/>
    <m/>
    <m/>
    <m/>
    <m/>
    <m/>
    <m/>
    <m/>
  </r>
  <r>
    <n v="341"/>
    <s v="Matheus"/>
    <x v="35"/>
    <s v="H"/>
    <n v="1343"/>
    <s v="Avril"/>
    <n v="6"/>
    <x v="7"/>
    <m/>
    <s v="Sitam apud Lapescha"/>
    <m/>
    <m/>
    <m/>
    <m/>
    <m/>
    <m/>
    <m/>
  </r>
  <r>
    <n v="341"/>
    <s v="Matheus"/>
    <x v="35"/>
    <s v="H"/>
    <n v="1343"/>
    <s v="Avril"/>
    <n v="6"/>
    <x v="48"/>
    <m/>
    <s v="Terra loci de Chalmetis"/>
    <s v="Nemore de Hao"/>
    <s v="Aqua de Lobaressas"/>
    <m/>
    <m/>
    <m/>
    <m/>
    <m/>
  </r>
  <r>
    <n v="1411"/>
    <s v="Guillermus"/>
    <x v="36"/>
    <s v="H"/>
    <n v="1342"/>
    <s v="Février"/>
    <n v="12"/>
    <x v="1"/>
    <m/>
    <s v="Sitas in loco de la Brossa"/>
    <m/>
    <m/>
    <m/>
    <m/>
    <m/>
    <m/>
    <m/>
  </r>
  <r>
    <n v="1411"/>
    <s v="Guillermus"/>
    <x v="36"/>
    <s v="H"/>
    <n v="1342"/>
    <s v="Février"/>
    <n v="12"/>
    <x v="29"/>
    <m/>
    <s v="Sitos in loco de la Brossa"/>
    <m/>
    <m/>
    <m/>
    <m/>
    <m/>
    <m/>
    <m/>
  </r>
  <r>
    <n v="1411"/>
    <s v="Guillermus"/>
    <x v="36"/>
    <s v="H"/>
    <n v="1342"/>
    <s v="Février"/>
    <n v="12"/>
    <x v="45"/>
    <s v="De la Brossa"/>
    <m/>
    <s v="Via qua itur de la Bercoza versus Plafay"/>
    <s v="Strata publica per quam itur de Plafayno versus la Pasaa de la Torta sequendo recto itinere"/>
    <s v="Pratis Dens Montalerius"/>
    <s v="Prato Guillermi Malagaita de novo assensaco"/>
    <s v="La Passaa vocata del Pedalanar des Chas"/>
    <m/>
    <m/>
  </r>
  <r>
    <n v="1411"/>
    <s v="Guillermus"/>
    <x v="36"/>
    <s v="H"/>
    <n v="1342"/>
    <s v="Février"/>
    <n v="12"/>
    <x v="4"/>
    <m/>
    <m/>
    <s v="Una broa pasturaliam de Champoleiras"/>
    <s v="Via qua itur de la Bercoza versus Plafay"/>
    <m/>
    <m/>
    <m/>
    <m/>
    <s v="Quod dictus Guillermus aquisivit a Matheo filio vocate Troma et deinde pretenditur"/>
  </r>
  <r>
    <n v="1411"/>
    <s v="Guillermus"/>
    <x v="36"/>
    <s v="H"/>
    <n v="1342"/>
    <s v="Février"/>
    <n v="12"/>
    <x v="24"/>
    <m/>
    <s v="In territorio de la Brossa"/>
    <m/>
    <m/>
    <m/>
    <m/>
    <m/>
    <m/>
    <s v="Infro dictos confines situata et pasturalia"/>
  </r>
  <r>
    <n v="1411"/>
    <s v="Guillermus"/>
    <x v="36"/>
    <s v="H"/>
    <n v="1342"/>
    <s v="Février"/>
    <n v="12"/>
    <x v="4"/>
    <s v="De Mondeiras sive de Plafayno"/>
    <m/>
    <s v="Terra grangiacgii de Chauleto"/>
    <s v="Terra domini Aniciensis episcopi"/>
    <m/>
    <m/>
    <m/>
    <m/>
    <s v="Cum Creisensis non est diu contignatus"/>
  </r>
  <r>
    <n v="1411"/>
    <s v="Guillermus"/>
    <x v="36"/>
    <s v="H"/>
    <n v="1342"/>
    <s v="Février"/>
    <n v="12"/>
    <x v="4"/>
    <s v="De Latrona"/>
    <m/>
    <m/>
    <m/>
    <m/>
    <m/>
    <m/>
    <m/>
    <m/>
  </r>
  <r>
    <n v="1411"/>
    <s v="Guillermus"/>
    <x v="36"/>
    <s v="H"/>
    <n v="1342"/>
    <s v="Février"/>
    <n v="12"/>
    <x v="33"/>
    <m/>
    <s v="Situm in nemore de Chalmariais"/>
    <s v="Nemore Jacmete uxoris Thome Chanilenant"/>
    <s v="Terra domini Aniciensis episcopi"/>
    <m/>
    <m/>
    <m/>
    <m/>
    <m/>
  </r>
  <r>
    <n v="1411"/>
    <s v="Guillermus"/>
    <x v="36"/>
    <s v="H"/>
    <n v="1342"/>
    <s v="Février"/>
    <n v="12"/>
    <x v="64"/>
    <m/>
    <m/>
    <m/>
    <m/>
    <m/>
    <m/>
    <m/>
    <m/>
    <m/>
  </r>
  <r>
    <n v="1411"/>
    <s v="Guillermus"/>
    <x v="36"/>
    <s v="H"/>
    <n v="1342"/>
    <s v="Février"/>
    <n v="12"/>
    <x v="65"/>
    <m/>
    <m/>
    <m/>
    <m/>
    <m/>
    <m/>
    <m/>
    <m/>
    <s v="Quo habet un calme de Lomas Sanhas et de Alanar des Chas et de Champoleiras et etiam de Las Puteas"/>
  </r>
  <r>
    <n v="351"/>
    <s v="Matheus"/>
    <x v="37"/>
    <s v="H"/>
    <n v="1343"/>
    <s v="Avril"/>
    <n v="8"/>
    <x v="4"/>
    <m/>
    <s v="Situm in locum vocatum del Reondet de la Boscha"/>
    <s v="Pratis Girandi et Martini de la Boscha"/>
    <s v="Prato Girandi Fayni de Chalmariais"/>
    <m/>
    <m/>
    <m/>
    <m/>
    <m/>
  </r>
  <r>
    <n v="361"/>
    <s v="Raymundus"/>
    <x v="37"/>
    <s v="H"/>
    <n v="1343"/>
    <s v="Avril"/>
    <n v="9"/>
    <x v="4"/>
    <m/>
    <s v="Situm in teritorio de Chalmariais"/>
    <s v="Prato Peyruchonis Paulini de la Brueira"/>
    <s v="Pasturali Johanis de Chalmetis"/>
    <s v="Vinatz illorum de Chalmetis"/>
    <s v="Pasturali Mathei de la Brueira"/>
    <m/>
    <m/>
    <m/>
  </r>
  <r>
    <n v="362"/>
    <s v="Peyruchonus"/>
    <x v="37"/>
    <s v="H"/>
    <n v="1343"/>
    <s v="Avril"/>
    <n v="9"/>
    <x v="33"/>
    <m/>
    <s v="Situm apud Coray in territorio de Chalmetis"/>
    <s v="Nemore de Chalmetis"/>
    <s v="Nemore illorum Dens Potetz"/>
    <m/>
    <m/>
    <m/>
    <m/>
    <m/>
  </r>
  <r>
    <n v="362"/>
    <s v="Peyruchonus"/>
    <x v="37"/>
    <s v="H"/>
    <n v="1343"/>
    <s v="Avril"/>
    <n v="9"/>
    <x v="4"/>
    <m/>
    <s v="Situm in prato de Lobaressas situm in teritorio de Chalmetis et de Chalmetis"/>
    <s v="Ura qua itur de Chalmariais versus Tensanum"/>
    <s v="Iro de Lobaressas"/>
    <s v="Prato Girandi et Martini de Boscha"/>
    <m/>
    <m/>
    <m/>
    <m/>
  </r>
  <r>
    <n v="362"/>
    <s v="Peyruchonus"/>
    <x v="37"/>
    <s v="H"/>
    <n v="1343"/>
    <s v="Avril"/>
    <n v="9"/>
    <x v="4"/>
    <m/>
    <s v="Situm subtus Coray"/>
    <s v="Nemore de Coray"/>
    <s v="Passata de Coray de Lobaressas"/>
    <m/>
    <m/>
    <m/>
    <m/>
    <m/>
  </r>
  <r>
    <n v="1451"/>
    <s v="Martinus"/>
    <x v="38"/>
    <s v="H"/>
    <n v="1342"/>
    <s v="Février"/>
    <s v="?"/>
    <x v="8"/>
    <s v="De Picota"/>
    <m/>
    <m/>
    <m/>
    <m/>
    <m/>
    <m/>
    <m/>
    <m/>
  </r>
  <r>
    <n v="1722"/>
    <s v="Petrus"/>
    <x v="39"/>
    <s v="H"/>
    <n v="1343"/>
    <s v="Avril"/>
    <n v="23"/>
    <x v="61"/>
    <s v="Diffart Peyro sive Alcos de la Rocha"/>
    <m/>
    <s v="Nemore Symundi Bochardi"/>
    <s v="Nemore nobilis viri Guillermi Rocheta domicelli"/>
    <s v="quodam rivo vocato de Sanna inter medio prout circumcirca trimim lapidei sint ibidem plantati"/>
    <m/>
    <m/>
    <m/>
    <s v="Per indiviso Petri Ronchani aquisivit titulo permutationis a Petro de la Fanria"/>
  </r>
  <r>
    <n v="1722"/>
    <s v="Petrus"/>
    <x v="39"/>
    <s v="H"/>
    <n v="1343"/>
    <s v="Avril"/>
    <n v="23"/>
    <x v="66"/>
    <s v="Diffart Peyro sive Alcos de la Rocha"/>
    <m/>
    <s v="Nemore Symundi Bochardi"/>
    <s v="Nemore nobilis viri Guillermi Rocheta domicelli"/>
    <s v="quodam rivo vocato de Sanna inter medio prout circumcirca trimim lapidei sint ibidem plantati"/>
    <m/>
    <m/>
    <m/>
    <s v="Per indiviso Petri Ronchani aquisivit titulo permutationis a Petro de la Fanria"/>
  </r>
  <r>
    <n v="1531"/>
    <s v="Symondus"/>
    <x v="40"/>
    <s v="H"/>
    <n v="1342"/>
    <s v="Février"/>
    <n v="17"/>
    <x v="7"/>
    <m/>
    <s v="Sitam apud La Valeta ribrant"/>
    <s v="Carreria publica de La Valeta"/>
    <s v="Domo heredum Hogoneti de la Valeta condam quodam violo medio"/>
    <m/>
    <m/>
    <m/>
    <m/>
    <m/>
  </r>
  <r>
    <n v="1531"/>
    <s v="Symondus"/>
    <x v="40"/>
    <s v="H"/>
    <n v="1342"/>
    <s v="Février"/>
    <n v="17"/>
    <x v="4"/>
    <m/>
    <s v="Situm subtus nemus de Lerin"/>
    <s v="Nemore de Lerin"/>
    <s v="Terra nempre de Muretp"/>
    <m/>
    <m/>
    <m/>
    <m/>
    <m/>
  </r>
  <r>
    <n v="1531"/>
    <s v="Symondus"/>
    <x v="40"/>
    <s v="H"/>
    <n v="1342"/>
    <s v="Février"/>
    <n v="17"/>
    <x v="4"/>
    <s v="De Lesnerstah"/>
    <m/>
    <s v="Prato de podio Sirgudo"/>
    <s v="Prato Johannis de Valeta"/>
    <m/>
    <m/>
    <m/>
    <m/>
    <m/>
  </r>
  <r>
    <n v="1531"/>
    <s v="Symondus"/>
    <x v="40"/>
    <s v="H"/>
    <n v="1342"/>
    <s v="Février"/>
    <n v="17"/>
    <x v="2"/>
    <m/>
    <s v="Situm apud la Valeta"/>
    <s v="Carreria publica de La Valeta"/>
    <s v="Petia terre Johannis de la Valeta"/>
    <m/>
    <m/>
    <m/>
    <m/>
    <m/>
  </r>
  <r>
    <n v="1531"/>
    <s v="Symondus"/>
    <x v="40"/>
    <s v="H"/>
    <n v="1342"/>
    <s v="Février"/>
    <n v="17"/>
    <x v="2"/>
    <m/>
    <s v="Situm in loco de la Valeta"/>
    <s v="Carreria publica de La Valeta"/>
    <s v="Petia sua quam tenet a prioratus Ruppispaule"/>
    <m/>
    <m/>
    <m/>
    <m/>
    <m/>
  </r>
  <r>
    <n v="1531"/>
    <s v="Symondus"/>
    <x v="40"/>
    <s v="H"/>
    <n v="1342"/>
    <s v="Février"/>
    <n v="17"/>
    <x v="3"/>
    <m/>
    <s v="Sitam in Tracollo Ruppis de Grant"/>
    <s v="Petia Jacobi La Valeta"/>
    <m/>
    <m/>
    <m/>
    <m/>
    <m/>
    <m/>
  </r>
  <r>
    <n v="1531"/>
    <s v="Symondus"/>
    <x v="40"/>
    <s v="H"/>
    <n v="1342"/>
    <s v="Février"/>
    <n v="17"/>
    <x v="3"/>
    <s v="De Ruppe Buzana"/>
    <m/>
    <s v="Petra Belliprandi"/>
    <s v="Terra Ruppispaule"/>
    <m/>
    <m/>
    <m/>
    <m/>
    <m/>
  </r>
  <r>
    <n v="1531"/>
    <s v="Symondus"/>
    <x v="40"/>
    <s v="H"/>
    <n v="1342"/>
    <s v="Février"/>
    <n v="17"/>
    <x v="3"/>
    <s v="De Fonte Veirieur"/>
    <m/>
    <s v="Terra Ruppispaule"/>
    <s v="Terra Belliprandi"/>
    <m/>
    <m/>
    <m/>
    <m/>
    <m/>
  </r>
  <r>
    <n v="1531"/>
    <s v="Symondus"/>
    <x v="40"/>
    <s v="H"/>
    <n v="1342"/>
    <s v="Février"/>
    <n v="17"/>
    <x v="3"/>
    <s v="Del Pinatel"/>
    <m/>
    <s v="Terra Ruppispaule"/>
    <m/>
    <m/>
    <m/>
    <m/>
    <m/>
    <m/>
  </r>
  <r>
    <n v="1531"/>
    <s v="Symondus"/>
    <x v="40"/>
    <s v="H"/>
    <n v="1342"/>
    <s v="Février"/>
    <n v="17"/>
    <x v="3"/>
    <s v="De Lubac"/>
    <m/>
    <m/>
    <m/>
    <m/>
    <m/>
    <m/>
    <m/>
    <m/>
  </r>
  <r>
    <n v="1531"/>
    <s v="Symondus"/>
    <x v="40"/>
    <s v="H"/>
    <n v="1342"/>
    <s v="Février"/>
    <n v="17"/>
    <x v="3"/>
    <s v="De Casta Bernart"/>
    <m/>
    <m/>
    <m/>
    <m/>
    <m/>
    <m/>
    <m/>
    <m/>
  </r>
  <r>
    <n v="1531"/>
    <s v="Symondus"/>
    <x v="40"/>
    <s v="H"/>
    <n v="1342"/>
    <s v="Février"/>
    <n v="17"/>
    <x v="3"/>
    <s v="De Casta Garneir"/>
    <m/>
    <m/>
    <m/>
    <m/>
    <m/>
    <m/>
    <m/>
    <m/>
  </r>
  <r>
    <n v="1531"/>
    <s v="Symondus"/>
    <x v="40"/>
    <s v="H"/>
    <n v="1342"/>
    <s v="Février"/>
    <n v="17"/>
    <x v="3"/>
    <m/>
    <s v="Sitam juxta Fontem de La Valeta"/>
    <m/>
    <m/>
    <m/>
    <m/>
    <m/>
    <m/>
    <m/>
  </r>
  <r>
    <n v="1771"/>
    <s v="Peyrotus et Johannes"/>
    <x v="41"/>
    <s v="G"/>
    <n v="1343"/>
    <s v="Décembre"/>
    <n v="5"/>
    <x v="45"/>
    <s v="Picota"/>
    <m/>
    <s v="Terra de Frigidis Parietibus"/>
    <s v="Rivo del Pereir"/>
    <s v="Rivo de prato Chalin"/>
    <s v="Terra Johanneti de Frigidis parietibus"/>
    <m/>
    <m/>
    <m/>
  </r>
  <r>
    <n v="1771"/>
    <s v="Peyrotus et Johannes"/>
    <x v="41"/>
    <s v="G"/>
    <n v="1343"/>
    <s v="Décembre"/>
    <n v="5"/>
    <x v="33"/>
    <m/>
    <s v="In tenementum suum"/>
    <m/>
    <m/>
    <m/>
    <m/>
    <m/>
    <m/>
    <m/>
  </r>
  <r>
    <n v="1771"/>
    <s v="Peyrotus et Johannes"/>
    <x v="41"/>
    <s v="G"/>
    <n v="1343"/>
    <s v="Décembre"/>
    <n v="5"/>
    <x v="67"/>
    <m/>
    <s v="Sitam in suco de Chalvinhaco"/>
    <s v="Terra Martinorum de Hereone"/>
    <s v="Terra Dens Vinatz de Malanal"/>
    <s v="Itinere publico per quod itur de Ruppe Paula versus Sanctum Agrippanum"/>
    <m/>
    <m/>
    <m/>
    <m/>
  </r>
  <r>
    <n v="1551"/>
    <s v="Jacobus"/>
    <x v="42"/>
    <s v="H"/>
    <n v="1342"/>
    <s v="Février"/>
    <n v="17"/>
    <x v="7"/>
    <m/>
    <s v="Sitam il loco de la Valeto Raibrant"/>
    <s v="Terra prioratus Ruppispaule quadam passata media"/>
    <m/>
    <m/>
    <m/>
    <m/>
    <m/>
    <m/>
  </r>
  <r>
    <n v="1551"/>
    <s v="Jacobus"/>
    <x v="42"/>
    <s v="H"/>
    <n v="1342"/>
    <s v="Février"/>
    <n v="17"/>
    <x v="2"/>
    <m/>
    <m/>
    <s v="Domum suum"/>
    <m/>
    <m/>
    <m/>
    <m/>
    <m/>
    <m/>
  </r>
  <r>
    <n v="1551"/>
    <s v="Jacobus"/>
    <x v="42"/>
    <s v="H"/>
    <n v="1342"/>
    <s v="Février"/>
    <n v="17"/>
    <x v="68"/>
    <s v="Del Clot"/>
    <m/>
    <s v="Domum suum"/>
    <s v="Orto suo"/>
    <m/>
    <m/>
    <m/>
    <m/>
    <m/>
  </r>
  <r>
    <n v="1551"/>
    <s v="Jacobus"/>
    <x v="42"/>
    <s v="H"/>
    <n v="1342"/>
    <s v="Février"/>
    <n v="17"/>
    <x v="3"/>
    <s v="De Font Veirieir"/>
    <m/>
    <m/>
    <m/>
    <m/>
    <m/>
    <m/>
    <m/>
    <m/>
  </r>
  <r>
    <n v="1551"/>
    <s v="Jacobus"/>
    <x v="42"/>
    <s v="H"/>
    <n v="1342"/>
    <s v="Février"/>
    <n v="17"/>
    <x v="69"/>
    <s v="De Lerin"/>
    <m/>
    <m/>
    <m/>
    <m/>
    <m/>
    <m/>
    <m/>
    <m/>
  </r>
  <r>
    <n v="1551"/>
    <s v="Jacobus"/>
    <x v="42"/>
    <s v="H"/>
    <n v="1342"/>
    <s v="Février"/>
    <n v="17"/>
    <x v="3"/>
    <s v="Del Serre de Grant"/>
    <m/>
    <m/>
    <m/>
    <m/>
    <m/>
    <m/>
    <m/>
    <m/>
  </r>
  <r>
    <n v="1551"/>
    <s v="Jacobus"/>
    <x v="42"/>
    <s v="H"/>
    <n v="1342"/>
    <s v="Février"/>
    <n v="17"/>
    <x v="3"/>
    <s v="Dens Chapolens"/>
    <m/>
    <m/>
    <m/>
    <m/>
    <m/>
    <m/>
    <m/>
    <m/>
  </r>
  <r>
    <n v="1551"/>
    <s v="Jacobus"/>
    <x v="42"/>
    <s v="H"/>
    <n v="1342"/>
    <s v="Février"/>
    <n v="17"/>
    <x v="3"/>
    <s v="La Blacha"/>
    <m/>
    <m/>
    <m/>
    <m/>
    <m/>
    <m/>
    <m/>
    <m/>
  </r>
  <r>
    <n v="1551"/>
    <s v="Jacobus"/>
    <x v="42"/>
    <s v="H"/>
    <n v="1342"/>
    <s v="Février"/>
    <n v="17"/>
    <x v="3"/>
    <s v="Lesuerseynh"/>
    <m/>
    <m/>
    <m/>
    <m/>
    <m/>
    <m/>
    <m/>
    <m/>
  </r>
  <r>
    <n v="1551"/>
    <s v="Jacobus"/>
    <x v="42"/>
    <s v="H"/>
    <n v="1342"/>
    <s v="Février"/>
    <n v="17"/>
    <x v="15"/>
    <s v="Prato Poyes"/>
    <m/>
    <m/>
    <m/>
    <m/>
    <m/>
    <m/>
    <m/>
    <m/>
  </r>
  <r>
    <n v="1551"/>
    <s v="Jacobus"/>
    <x v="42"/>
    <s v="H"/>
    <n v="1342"/>
    <s v="Février"/>
    <n v="17"/>
    <x v="2"/>
    <s v="De la Font"/>
    <m/>
    <m/>
    <m/>
    <m/>
    <m/>
    <m/>
    <m/>
    <m/>
  </r>
  <r>
    <n v="1551"/>
    <s v="Jacobus"/>
    <x v="42"/>
    <s v="H"/>
    <n v="1342"/>
    <s v="Février"/>
    <n v="17"/>
    <x v="12"/>
    <s v="La Aygaa"/>
    <m/>
    <m/>
    <m/>
    <m/>
    <m/>
    <m/>
    <m/>
    <m/>
  </r>
  <r>
    <n v="1551"/>
    <s v="Jacobus"/>
    <x v="42"/>
    <s v="H"/>
    <n v="1342"/>
    <s v="Février"/>
    <n v="17"/>
    <x v="70"/>
    <s v="La Aygaa"/>
    <m/>
    <m/>
    <m/>
    <m/>
    <m/>
    <m/>
    <m/>
    <m/>
  </r>
  <r>
    <n v="1551"/>
    <s v="Jacobus"/>
    <x v="42"/>
    <s v="H"/>
    <n v="1342"/>
    <s v="Février"/>
    <n v="17"/>
    <x v="6"/>
    <m/>
    <s v="Territorio de la Valeta Ribrant"/>
    <s v="Terra Prioris Ruppispaule"/>
    <s v="Terra castri Belli Prandii"/>
    <s v="Terra Devesseti"/>
    <m/>
    <m/>
    <m/>
    <m/>
  </r>
  <r>
    <n v="1561"/>
    <s v="Peyrononus"/>
    <x v="42"/>
    <s v="H"/>
    <n v="1342"/>
    <s v="Février"/>
    <n v="17"/>
    <x v="7"/>
    <m/>
    <s v="Sitam apud La Valeta"/>
    <s v="Domo Johannis de la Valeta"/>
    <m/>
    <m/>
    <m/>
    <m/>
    <m/>
    <m/>
  </r>
  <r>
    <n v="1561"/>
    <s v="Peyrononus"/>
    <x v="42"/>
    <s v="H"/>
    <n v="1342"/>
    <s v="Février"/>
    <n v="17"/>
    <x v="4"/>
    <s v="Vocatum la Sanha del Moli"/>
    <s v="Situm apud La Valeta"/>
    <s v="Aqua de La Gueesa"/>
    <m/>
    <m/>
    <m/>
    <m/>
    <m/>
    <m/>
  </r>
  <r>
    <n v="1561"/>
    <s v="Peyrononus"/>
    <x v="42"/>
    <s v="H"/>
    <n v="1342"/>
    <s v="Février"/>
    <n v="17"/>
    <x v="2"/>
    <s v="De Leyra Velha"/>
    <s v="Situm in territorio de la Valeta"/>
    <m/>
    <m/>
    <m/>
    <m/>
    <m/>
    <m/>
    <m/>
  </r>
  <r>
    <n v="1561"/>
    <s v="Peyrononus"/>
    <x v="42"/>
    <s v="H"/>
    <n v="1342"/>
    <s v="Février"/>
    <n v="17"/>
    <x v="2"/>
    <s v="De la Costeta"/>
    <s v="Situm in territorio de la Valeta"/>
    <m/>
    <m/>
    <m/>
    <m/>
    <m/>
    <m/>
    <m/>
  </r>
  <r>
    <n v="1561"/>
    <s v="Peyrononus"/>
    <x v="42"/>
    <s v="H"/>
    <n v="1342"/>
    <s v="Février"/>
    <n v="17"/>
    <x v="3"/>
    <s v="De Costa Bernart"/>
    <m/>
    <m/>
    <m/>
    <m/>
    <m/>
    <m/>
    <m/>
    <m/>
  </r>
  <r>
    <n v="1561"/>
    <s v="Peyrononus"/>
    <x v="42"/>
    <s v="H"/>
    <n v="1342"/>
    <s v="Février"/>
    <n v="17"/>
    <x v="3"/>
    <s v="De Costa Veirieir"/>
    <s v="Prope nemus de Lerni"/>
    <m/>
    <m/>
    <m/>
    <m/>
    <m/>
    <m/>
    <m/>
  </r>
  <r>
    <n v="1561"/>
    <s v="Peyrononus"/>
    <x v="42"/>
    <s v="H"/>
    <n v="1342"/>
    <s v="Février"/>
    <n v="17"/>
    <x v="3"/>
    <s v="De la Blacha"/>
    <m/>
    <s v="Terra Rupispaule"/>
    <s v="Terra Rupispaule"/>
    <m/>
    <m/>
    <m/>
    <m/>
    <m/>
  </r>
  <r>
    <n v="1561"/>
    <s v="Peyrononus"/>
    <x v="42"/>
    <s v="H"/>
    <n v="1342"/>
    <s v="Février"/>
    <n v="17"/>
    <x v="34"/>
    <s v="De Laygaa"/>
    <m/>
    <m/>
    <m/>
    <m/>
    <m/>
    <m/>
    <m/>
    <m/>
  </r>
  <r>
    <n v="1561"/>
    <s v="Peyrononus"/>
    <x v="42"/>
    <s v="H"/>
    <n v="1342"/>
    <s v="Février"/>
    <n v="17"/>
    <x v="3"/>
    <s v="Del Ranc"/>
    <m/>
    <m/>
    <m/>
    <m/>
    <m/>
    <m/>
    <m/>
    <m/>
  </r>
  <r>
    <n v="1561"/>
    <s v="Peyrononus"/>
    <x v="42"/>
    <s v="H"/>
    <n v="1342"/>
    <s v="Février"/>
    <n v="17"/>
    <x v="15"/>
    <s v="Del Ranc"/>
    <m/>
    <m/>
    <m/>
    <m/>
    <m/>
    <m/>
    <m/>
    <m/>
  </r>
  <r>
    <n v="1561"/>
    <s v="Peyrononus"/>
    <x v="42"/>
    <s v="H"/>
    <n v="1342"/>
    <s v="Février"/>
    <n v="17"/>
    <x v="6"/>
    <m/>
    <s v="Territorio de la Valeta"/>
    <s v="Terra Ruppispaule"/>
    <s v="Terra Belle Prandii"/>
    <s v="Terra castri Devesseti"/>
    <m/>
    <m/>
    <m/>
    <m/>
  </r>
  <r>
    <n v="1761"/>
    <s v="Petrus"/>
    <x v="42"/>
    <s v="H"/>
    <n v="1343"/>
    <s v="Novembre"/>
    <n v="26"/>
    <x v="8"/>
    <m/>
    <s v="Situatam in Podio de Gant"/>
    <s v="Terra Castri Belli Prandii"/>
    <s v="Terra cartina domus Devesseti"/>
    <m/>
    <m/>
    <m/>
    <m/>
    <m/>
  </r>
  <r>
    <n v="1761"/>
    <s v="Petrus"/>
    <x v="42"/>
    <s v="H"/>
    <n v="1343"/>
    <s v="Novembre"/>
    <n v="26"/>
    <x v="0"/>
    <m/>
    <m/>
    <s v="Terra Jacobi de la Valeta"/>
    <m/>
    <m/>
    <m/>
    <m/>
    <m/>
    <s v="Quam aquisivit a Hugoneto de La Valeta condam"/>
  </r>
  <r>
    <n v="1761"/>
    <s v="Petrus"/>
    <x v="42"/>
    <s v="H"/>
    <n v="1343"/>
    <s v="Novembre"/>
    <n v="26"/>
    <x v="3"/>
    <m/>
    <s v="Sitam supra Rorano de la Valeta"/>
    <s v="Terra Jacobi de la Valeta"/>
    <m/>
    <m/>
    <m/>
    <m/>
    <m/>
    <m/>
  </r>
  <r>
    <n v="1761"/>
    <s v="Petrus"/>
    <x v="42"/>
    <s v="H"/>
    <n v="1343"/>
    <s v="Novembre"/>
    <n v="26"/>
    <x v="4"/>
    <s v="Las Poloyras"/>
    <m/>
    <s v="Pratis de Gaut"/>
    <s v="Pasturalibus de Gaut"/>
    <m/>
    <m/>
    <m/>
    <m/>
    <s v="Jacmete uxor eius filii + Quod olim fuit Andree de Spaetis"/>
  </r>
  <r>
    <n v="1761"/>
    <s v="Petrus"/>
    <x v="42"/>
    <s v="H"/>
    <n v="1343"/>
    <s v="Novembre"/>
    <n v="26"/>
    <x v="15"/>
    <s v="Las Poloyras"/>
    <m/>
    <s v="Pratis de Gaut"/>
    <s v="Pasturalibus de Gaut"/>
    <m/>
    <m/>
    <m/>
    <m/>
    <s v="Jacmete uxor eius filii + Quod olim fuit Andree de Spaetis"/>
  </r>
  <r>
    <n v="1761"/>
    <s v="Petrus"/>
    <x v="42"/>
    <s v="H"/>
    <n v="1343"/>
    <s v="Novembre"/>
    <n v="26"/>
    <x v="71"/>
    <s v="Las Poloyras"/>
    <m/>
    <m/>
    <m/>
    <m/>
    <m/>
    <m/>
    <m/>
    <s v="Jacmete uxor eius filii"/>
  </r>
  <r>
    <n v="1761"/>
    <s v="Petrus"/>
    <x v="42"/>
    <s v="H"/>
    <n v="1343"/>
    <s v="Novembre"/>
    <n v="26"/>
    <x v="71"/>
    <s v="Las Poloyras"/>
    <m/>
    <m/>
    <m/>
    <m/>
    <m/>
    <m/>
    <m/>
    <s v="Jacmete uxor eius filii"/>
  </r>
  <r>
    <n v="1761"/>
    <s v="Petrus"/>
    <x v="42"/>
    <s v="H"/>
    <n v="1343"/>
    <s v="Novembre"/>
    <n v="26"/>
    <x v="72"/>
    <m/>
    <s v="Devesseti"/>
    <m/>
    <m/>
    <m/>
    <m/>
    <m/>
    <m/>
    <s v="Jacmete uxor eius filii"/>
  </r>
  <r>
    <n v="1761"/>
    <s v="Petrus"/>
    <x v="42"/>
    <s v="H"/>
    <n v="1343"/>
    <s v="Novembre"/>
    <n v="26"/>
    <x v="4"/>
    <m/>
    <m/>
    <m/>
    <m/>
    <m/>
    <m/>
    <m/>
    <m/>
    <s v="Quod olim fui aquisitum per Guillermum de Grant condam a Jacobo de Spaetis + Jacmete uxor eius filii"/>
  </r>
  <r>
    <n v="1761"/>
    <s v="Petrus"/>
    <x v="42"/>
    <s v="H"/>
    <n v="1343"/>
    <s v="Novembre"/>
    <n v="26"/>
    <x v="4"/>
    <m/>
    <s v="Situm a Las Pozoyras"/>
    <m/>
    <m/>
    <m/>
    <m/>
    <m/>
    <m/>
    <s v="Quod fuit aquisivit a Johanne de Spaetis + Jacmete uxor eius filii"/>
  </r>
  <r>
    <n v="1761"/>
    <s v="Petrus"/>
    <x v="42"/>
    <s v="H"/>
    <n v="1343"/>
    <s v="Novembre"/>
    <n v="26"/>
    <x v="4"/>
    <m/>
    <s v="Situm in summitatem de Las Pozoyras"/>
    <s v="Pasturalibus de Las Pinetas"/>
    <s v="Prato Johannis de Spaetis"/>
    <m/>
    <m/>
    <m/>
    <m/>
    <s v="Quod olim fuit Petri de Peolhozas + Jacmete uxor eius filii"/>
  </r>
  <r>
    <n v="1381"/>
    <s v="Vitalis"/>
    <x v="43"/>
    <s v="H"/>
    <n v="1343"/>
    <s v="Octobre"/>
    <n v="26"/>
    <x v="73"/>
    <m/>
    <s v="Situm apud la Vileta"/>
    <m/>
    <m/>
    <m/>
    <m/>
    <m/>
    <m/>
    <m/>
  </r>
  <r>
    <n v="1381"/>
    <s v="Vitalis"/>
    <x v="43"/>
    <s v="H"/>
    <n v="1343"/>
    <s v="Octobre"/>
    <n v="26"/>
    <x v="29"/>
    <m/>
    <s v="Sitos in manso de la Vileta"/>
    <m/>
    <m/>
    <m/>
    <m/>
    <m/>
    <m/>
    <m/>
  </r>
  <r>
    <n v="1381"/>
    <s v="Vitalis"/>
    <x v="43"/>
    <s v="H"/>
    <n v="1343"/>
    <s v="Octobre"/>
    <n v="26"/>
    <x v="68"/>
    <m/>
    <s v="Sitam in loco de la Vileta"/>
    <s v="Juxta ouchiam Mathei de la Coasta"/>
    <m/>
    <m/>
    <m/>
    <m/>
    <m/>
    <m/>
  </r>
  <r>
    <n v="1381"/>
    <s v="Vitalis"/>
    <x v="43"/>
    <s v="H"/>
    <n v="1343"/>
    <s v="Octobre"/>
    <n v="26"/>
    <x v="3"/>
    <s v="Del Pi"/>
    <m/>
    <m/>
    <m/>
    <m/>
    <m/>
    <m/>
    <m/>
    <m/>
  </r>
  <r>
    <n v="1381"/>
    <s v="Vitalis"/>
    <x v="43"/>
    <s v="H"/>
    <n v="1343"/>
    <s v="Octobre"/>
    <n v="26"/>
    <x v="3"/>
    <s v="Del Betz"/>
    <m/>
    <m/>
    <m/>
    <m/>
    <m/>
    <m/>
    <m/>
    <m/>
  </r>
  <r>
    <n v="1381"/>
    <s v="Vitalis"/>
    <x v="43"/>
    <s v="H"/>
    <n v="1343"/>
    <s v="Octobre"/>
    <n v="26"/>
    <x v="3"/>
    <s v="De La Costa Dens Pras"/>
    <m/>
    <m/>
    <m/>
    <m/>
    <m/>
    <m/>
    <m/>
    <m/>
  </r>
  <r>
    <n v="1381"/>
    <s v="Vitalis"/>
    <x v="43"/>
    <s v="H"/>
    <n v="1343"/>
    <s v="Octobre"/>
    <n v="26"/>
    <x v="3"/>
    <m/>
    <s v="Sitam supra pratum suum"/>
    <m/>
    <m/>
    <m/>
    <m/>
    <m/>
    <m/>
    <m/>
  </r>
  <r>
    <n v="1381"/>
    <s v="Vitalis"/>
    <x v="43"/>
    <s v="H"/>
    <n v="1343"/>
    <s v="Octobre"/>
    <n v="26"/>
    <x v="3"/>
    <s v="Del Pereir"/>
    <m/>
    <m/>
    <m/>
    <m/>
    <m/>
    <m/>
    <m/>
    <m/>
  </r>
  <r>
    <n v="1381"/>
    <s v="Vitalis"/>
    <x v="43"/>
    <s v="H"/>
    <n v="1343"/>
    <s v="Octobre"/>
    <n v="26"/>
    <x v="3"/>
    <s v="Cari Dens Pis"/>
    <m/>
    <m/>
    <m/>
    <m/>
    <m/>
    <m/>
    <m/>
    <m/>
  </r>
  <r>
    <n v="1381"/>
    <s v="Vitalis"/>
    <x v="43"/>
    <s v="H"/>
    <n v="1343"/>
    <s v="Octobre"/>
    <n v="26"/>
    <x v="4"/>
    <s v="De la Rocha"/>
    <m/>
    <m/>
    <m/>
    <m/>
    <m/>
    <m/>
    <m/>
    <m/>
  </r>
  <r>
    <n v="1381"/>
    <s v="Vitalis"/>
    <x v="43"/>
    <s v="H"/>
    <n v="1343"/>
    <s v="Octobre"/>
    <n v="26"/>
    <x v="4"/>
    <s v="Chabanas"/>
    <m/>
    <m/>
    <m/>
    <m/>
    <m/>
    <m/>
    <m/>
    <m/>
  </r>
  <r>
    <n v="1381"/>
    <s v="Vitalis"/>
    <x v="43"/>
    <s v="H"/>
    <n v="1343"/>
    <s v="Octobre"/>
    <n v="26"/>
    <x v="6"/>
    <m/>
    <s v="Site in Manso et territorio de la Vileta"/>
    <s v="Terra mansi de Malaval"/>
    <s v="Terra mansi de Pererio"/>
    <m/>
    <m/>
    <m/>
    <m/>
    <m/>
  </r>
  <r>
    <n v="1392"/>
    <s v="Vitalis"/>
    <x v="43"/>
    <s v="H"/>
    <n v="1343"/>
    <s v="Juin"/>
    <n v="22"/>
    <x v="1"/>
    <m/>
    <s v="Sitas apud La Vileta"/>
    <m/>
    <m/>
    <m/>
    <m/>
    <m/>
    <m/>
    <m/>
  </r>
  <r>
    <n v="1392"/>
    <s v="Vitalis"/>
    <x v="43"/>
    <s v="H"/>
    <n v="1343"/>
    <s v="Juin"/>
    <n v="22"/>
    <x v="68"/>
    <m/>
    <s v="Sitam recto domum Mathei et Martini de Costa"/>
    <m/>
    <m/>
    <m/>
    <m/>
    <m/>
    <m/>
    <m/>
  </r>
  <r>
    <n v="1392"/>
    <s v="Vitalis"/>
    <x v="43"/>
    <s v="H"/>
    <n v="1343"/>
    <s v="Juin"/>
    <n v="22"/>
    <x v="3"/>
    <s v="De Prato Conlie"/>
    <m/>
    <m/>
    <m/>
    <m/>
    <m/>
    <m/>
    <m/>
    <m/>
  </r>
  <r>
    <n v="1392"/>
    <s v="Vitalis"/>
    <x v="43"/>
    <s v="H"/>
    <n v="1343"/>
    <s v="Juin"/>
    <n v="22"/>
    <x v="3"/>
    <s v="La Costa Dens Pras"/>
    <m/>
    <m/>
    <m/>
    <m/>
    <m/>
    <m/>
    <m/>
    <m/>
  </r>
  <r>
    <n v="1392"/>
    <s v="Vitalis"/>
    <x v="43"/>
    <s v="H"/>
    <n v="1343"/>
    <s v="Juin"/>
    <n v="22"/>
    <x v="3"/>
    <m/>
    <s v="Sitam duo nemora de La Vileta"/>
    <m/>
    <m/>
    <m/>
    <m/>
    <m/>
    <m/>
    <m/>
  </r>
  <r>
    <n v="1392"/>
    <s v="Vitalis"/>
    <x v="43"/>
    <s v="H"/>
    <n v="1343"/>
    <s v="Juin"/>
    <n v="22"/>
    <x v="33"/>
    <m/>
    <m/>
    <s v="Petia sua"/>
    <m/>
    <m/>
    <m/>
    <m/>
    <m/>
    <m/>
  </r>
  <r>
    <n v="1392"/>
    <s v="Vitalis"/>
    <x v="43"/>
    <s v="H"/>
    <n v="1343"/>
    <s v="Juin"/>
    <n v="22"/>
    <x v="3"/>
    <s v="P[…]o"/>
    <m/>
    <m/>
    <m/>
    <m/>
    <m/>
    <m/>
    <m/>
    <m/>
  </r>
  <r>
    <n v="1392"/>
    <s v="Vitalis"/>
    <x v="43"/>
    <s v="H"/>
    <n v="1343"/>
    <s v="Juin"/>
    <n v="22"/>
    <x v="3"/>
    <s v="Petiam Sancti Martini"/>
    <m/>
    <m/>
    <m/>
    <m/>
    <m/>
    <m/>
    <m/>
    <m/>
  </r>
  <r>
    <n v="1392"/>
    <s v="Vitalis"/>
    <x v="43"/>
    <s v="H"/>
    <n v="1343"/>
    <s v="Juin"/>
    <n v="22"/>
    <x v="3"/>
    <s v="De Sanha Brunel"/>
    <m/>
    <m/>
    <m/>
    <m/>
    <m/>
    <m/>
    <m/>
    <m/>
  </r>
  <r>
    <n v="1392"/>
    <s v="Vitalis"/>
    <x v="43"/>
    <s v="H"/>
    <n v="1343"/>
    <s v="Juin"/>
    <n v="22"/>
    <x v="3"/>
    <s v="De Chabanas"/>
    <m/>
    <m/>
    <m/>
    <m/>
    <m/>
    <m/>
    <m/>
    <m/>
  </r>
  <r>
    <n v="1392"/>
    <s v="Vitalis"/>
    <x v="43"/>
    <s v="H"/>
    <n v="1343"/>
    <s v="Juin"/>
    <n v="22"/>
    <x v="3"/>
    <s v="La Cela"/>
    <m/>
    <s v="Juxta […] de la Roneir"/>
    <m/>
    <m/>
    <m/>
    <m/>
    <m/>
    <m/>
  </r>
  <r>
    <n v="1392"/>
    <s v="Vitalis"/>
    <x v="43"/>
    <s v="H"/>
    <n v="1343"/>
    <s v="Juin"/>
    <n v="22"/>
    <x v="4"/>
    <s v="Del […] vel de Layra"/>
    <m/>
    <m/>
    <m/>
    <m/>
    <m/>
    <m/>
    <m/>
    <m/>
  </r>
  <r>
    <n v="1392"/>
    <s v="Vitalis"/>
    <x v="43"/>
    <s v="H"/>
    <n v="1343"/>
    <s v="Juin"/>
    <n v="22"/>
    <x v="4"/>
    <s v="Dens Pras"/>
    <m/>
    <m/>
    <m/>
    <m/>
    <m/>
    <m/>
    <m/>
    <m/>
  </r>
  <r>
    <n v="1582"/>
    <s v="Bartholomea"/>
    <x v="43"/>
    <s v="H"/>
    <n v="1342"/>
    <s v="Février"/>
    <n v="19"/>
    <x v="73"/>
    <m/>
    <s v="Situm apud la Vileta"/>
    <m/>
    <m/>
    <m/>
    <m/>
    <m/>
    <m/>
    <m/>
  </r>
  <r>
    <n v="1582"/>
    <s v="Bartholomea"/>
    <x v="43"/>
    <s v="H"/>
    <n v="1342"/>
    <s v="Février"/>
    <n v="19"/>
    <x v="2"/>
    <m/>
    <m/>
    <s v="Situm juxta Petiam Vitalis Brannac"/>
    <m/>
    <m/>
    <m/>
    <m/>
    <m/>
    <m/>
  </r>
  <r>
    <n v="1582"/>
    <s v="Bartholomea"/>
    <x v="43"/>
    <s v="H"/>
    <n v="1342"/>
    <s v="Février"/>
    <n v="19"/>
    <x v="3"/>
    <s v="Del Toloet"/>
    <m/>
    <m/>
    <m/>
    <m/>
    <m/>
    <m/>
    <m/>
    <m/>
  </r>
  <r>
    <n v="1582"/>
    <s v="Bartholomea"/>
    <x v="43"/>
    <s v="H"/>
    <n v="1342"/>
    <s v="Février"/>
    <n v="19"/>
    <x v="3"/>
    <s v="Del Cieir"/>
    <m/>
    <m/>
    <m/>
    <m/>
    <m/>
    <m/>
    <m/>
    <m/>
  </r>
  <r>
    <n v="1582"/>
    <s v="Bartholomea"/>
    <x v="43"/>
    <s v="H"/>
    <n v="1342"/>
    <s v="Février"/>
    <n v="19"/>
    <x v="3"/>
    <s v="Chabanas"/>
    <m/>
    <m/>
    <m/>
    <m/>
    <m/>
    <m/>
    <m/>
    <m/>
  </r>
  <r>
    <n v="1582"/>
    <s v="Bartholomea"/>
    <x v="43"/>
    <s v="H"/>
    <n v="1342"/>
    <s v="Février"/>
    <n v="19"/>
    <x v="3"/>
    <s v="Chabanas"/>
    <m/>
    <m/>
    <m/>
    <m/>
    <m/>
    <m/>
    <m/>
    <m/>
  </r>
  <r>
    <n v="1582"/>
    <s v="Bartholomea"/>
    <x v="43"/>
    <s v="H"/>
    <n v="1342"/>
    <s v="Février"/>
    <n v="19"/>
    <x v="3"/>
    <s v="Dens Pras"/>
    <m/>
    <m/>
    <m/>
    <m/>
    <m/>
    <m/>
    <m/>
    <m/>
  </r>
  <r>
    <n v="1582"/>
    <s v="Bartholomea"/>
    <x v="43"/>
    <s v="H"/>
    <n v="1342"/>
    <s v="Février"/>
    <n v="19"/>
    <x v="3"/>
    <s v="Bertineschas"/>
    <m/>
    <m/>
    <m/>
    <m/>
    <m/>
    <m/>
    <m/>
    <m/>
  </r>
  <r>
    <n v="1582"/>
    <s v="Bartholomea"/>
    <x v="43"/>
    <s v="H"/>
    <n v="1342"/>
    <s v="Février"/>
    <n v="19"/>
    <x v="4"/>
    <s v="Tonhet"/>
    <m/>
    <m/>
    <m/>
    <m/>
    <m/>
    <m/>
    <m/>
    <m/>
  </r>
  <r>
    <n v="1582"/>
    <s v="Bartholomea"/>
    <x v="43"/>
    <s v="H"/>
    <n v="1342"/>
    <s v="Février"/>
    <n v="19"/>
    <x v="6"/>
    <m/>
    <s v="Territorio de la Vileta"/>
    <s v="Territorio de la Roneira"/>
    <s v="Territorio de la Vileta"/>
    <m/>
    <m/>
    <m/>
    <m/>
    <m/>
  </r>
  <r>
    <n v="1583"/>
    <s v="Petronilla"/>
    <x v="43"/>
    <s v="F"/>
    <n v="1342"/>
    <s v="Février"/>
    <n v="20"/>
    <x v="73"/>
    <m/>
    <s v="Situm in loco de la Vileta"/>
    <m/>
    <m/>
    <m/>
    <m/>
    <m/>
    <m/>
    <m/>
  </r>
  <r>
    <n v="1583"/>
    <s v="Petronilla"/>
    <x v="43"/>
    <s v="F"/>
    <n v="1342"/>
    <s v="Février"/>
    <n v="20"/>
    <x v="68"/>
    <s v="Del Toloet"/>
    <m/>
    <m/>
    <m/>
    <m/>
    <m/>
    <m/>
    <m/>
    <m/>
  </r>
  <r>
    <n v="1583"/>
    <s v="Petronilla"/>
    <x v="43"/>
    <s v="F"/>
    <n v="1342"/>
    <s v="Février"/>
    <n v="20"/>
    <x v="3"/>
    <s v="Del Chier"/>
    <m/>
    <m/>
    <m/>
    <m/>
    <m/>
    <m/>
    <m/>
    <m/>
  </r>
  <r>
    <n v="1583"/>
    <s v="Petronilla"/>
    <x v="43"/>
    <s v="F"/>
    <n v="1342"/>
    <s v="Février"/>
    <n v="20"/>
    <x v="3"/>
    <s v="De Ladrit de Chabanas"/>
    <m/>
    <m/>
    <m/>
    <m/>
    <m/>
    <m/>
    <m/>
    <m/>
  </r>
  <r>
    <n v="1583"/>
    <s v="Petronilla"/>
    <x v="43"/>
    <s v="F"/>
    <n v="1342"/>
    <s v="Février"/>
    <n v="20"/>
    <x v="3"/>
    <s v="De Lubac de Bertineschas"/>
    <m/>
    <m/>
    <m/>
    <m/>
    <m/>
    <m/>
    <m/>
    <m/>
  </r>
  <r>
    <n v="1583"/>
    <s v="Petronilla"/>
    <x v="43"/>
    <s v="F"/>
    <n v="1342"/>
    <s v="Février"/>
    <n v="20"/>
    <x v="3"/>
    <s v="De Costa Dens Pras"/>
    <m/>
    <m/>
    <m/>
    <m/>
    <m/>
    <m/>
    <m/>
    <m/>
  </r>
  <r>
    <n v="1872"/>
    <s v="Martinus"/>
    <x v="43"/>
    <s v="H"/>
    <n v="1345"/>
    <s v="Janvier"/>
    <n v="29"/>
    <x v="8"/>
    <m/>
    <s v="Situm apud la Vileta"/>
    <m/>
    <m/>
    <m/>
    <m/>
    <m/>
    <m/>
    <m/>
  </r>
  <r>
    <n v="1872"/>
    <s v="Martinus"/>
    <x v="43"/>
    <s v="H"/>
    <n v="1345"/>
    <s v="Janvier"/>
    <n v="29"/>
    <x v="4"/>
    <m/>
    <s v="Situm apud la Vileta"/>
    <s v="Terre sua"/>
    <m/>
    <m/>
    <m/>
    <m/>
    <m/>
    <m/>
  </r>
  <r>
    <n v="1522"/>
    <s v="Jacobus"/>
    <x v="44"/>
    <s v="H"/>
    <n v="1342"/>
    <s v="Décembre"/>
    <n v="8"/>
    <x v="0"/>
    <m/>
    <s v="Sitam in territorio de Loyl Dens Cornus"/>
    <s v="Juxta Las Gardetas"/>
    <s v="Petia Stephani de Malagaita"/>
    <s v="Terra Petri Mundenis de Larena"/>
    <s v="Petia Clementis de Malagaita"/>
    <m/>
    <m/>
    <m/>
  </r>
  <r>
    <n v="601"/>
    <s v="Dompninus"/>
    <x v="45"/>
    <s v="H"/>
    <n v="1343"/>
    <s v="Avril"/>
    <n v="29"/>
    <x v="3"/>
    <s v="Del Cros"/>
    <m/>
    <s v="Terra hominium de Rivo"/>
    <m/>
    <m/>
    <m/>
    <m/>
    <m/>
    <s v="Quas aquisivit a Michaele Girardi"/>
  </r>
  <r>
    <n v="601"/>
    <s v="Dompninus"/>
    <x v="45"/>
    <s v="H"/>
    <n v="1343"/>
    <s v="Avril"/>
    <n v="29"/>
    <x v="3"/>
    <s v="Labraressas"/>
    <m/>
    <s v="Terra hominium de Rivo"/>
    <m/>
    <m/>
    <m/>
    <m/>
    <m/>
    <s v="Quas aquisivit a Michaele Girardi"/>
  </r>
  <r>
    <n v="601"/>
    <s v="Dompninus"/>
    <x v="45"/>
    <s v="H"/>
    <n v="1343"/>
    <s v="Avril"/>
    <n v="29"/>
    <x v="3"/>
    <s v="Labraressa"/>
    <m/>
    <m/>
    <m/>
    <m/>
    <m/>
    <m/>
    <m/>
    <s v="Quam aquisivit a Michaele Garunii de Masalibrant"/>
  </r>
  <r>
    <n v="601"/>
    <s v="Dompninus"/>
    <x v="45"/>
    <s v="H"/>
    <n v="1343"/>
    <s v="Avril"/>
    <n v="29"/>
    <x v="15"/>
    <m/>
    <s v="Situm est in territorio de Ruschas"/>
    <m/>
    <m/>
    <m/>
    <m/>
    <m/>
    <m/>
    <s v="Quod aquisivit a Michaele Garunii de Masalibrant"/>
  </r>
  <r>
    <n v="611"/>
    <s v="Petrus"/>
    <x v="45"/>
    <s v="H"/>
    <n v="1343"/>
    <s v="Avril"/>
    <n v="29"/>
    <x v="7"/>
    <m/>
    <s v="Sitam apud Lasruschas"/>
    <m/>
    <m/>
    <m/>
    <m/>
    <m/>
    <m/>
    <m/>
  </r>
  <r>
    <n v="611"/>
    <s v="Petrus"/>
    <x v="45"/>
    <s v="H"/>
    <n v="1343"/>
    <s v="Avril"/>
    <n v="29"/>
    <x v="15"/>
    <s v="de Lasruschas"/>
    <m/>
    <m/>
    <m/>
    <m/>
    <m/>
    <m/>
    <m/>
    <s v="Quod aquisivit a Michaele Berlha"/>
  </r>
  <r>
    <n v="611"/>
    <s v="Petrus"/>
    <x v="45"/>
    <s v="H"/>
    <n v="1343"/>
    <s v="Avril"/>
    <n v="29"/>
    <x v="74"/>
    <s v="Petronille eiux uxoris"/>
    <s v="Masalibrant"/>
    <m/>
    <m/>
    <m/>
    <m/>
    <m/>
    <m/>
    <m/>
  </r>
  <r>
    <n v="621"/>
    <s v="Valentinus"/>
    <x v="45"/>
    <s v="H"/>
    <n v="1343"/>
    <s v="Avril"/>
    <n v="29"/>
    <x v="7"/>
    <m/>
    <s v="Sitam apud Lasruschas"/>
    <m/>
    <m/>
    <m/>
    <m/>
    <m/>
    <m/>
    <m/>
  </r>
  <r>
    <n v="631"/>
    <s v="Petrus"/>
    <x v="45"/>
    <s v="H"/>
    <n v="1343"/>
    <s v="Avril"/>
    <n v="29"/>
    <x v="7"/>
    <m/>
    <s v="Sitam apud Lasruschas"/>
    <m/>
    <m/>
    <m/>
    <m/>
    <m/>
    <m/>
    <m/>
  </r>
  <r>
    <n v="651"/>
    <s v="Johanis"/>
    <x v="45"/>
    <s v="H"/>
    <n v="1343"/>
    <s v="Avril"/>
    <n v="29"/>
    <x v="7"/>
    <m/>
    <s v="Sitam apud Lasruschas"/>
    <m/>
    <m/>
    <m/>
    <m/>
    <m/>
    <m/>
    <m/>
  </r>
  <r>
    <n v="651"/>
    <s v="Johanis"/>
    <x v="45"/>
    <s v="H"/>
    <n v="1343"/>
    <s v="Avril"/>
    <n v="29"/>
    <x v="4"/>
    <s v="De la Pinea"/>
    <m/>
    <m/>
    <m/>
    <m/>
    <m/>
    <m/>
    <m/>
    <s v="Que aquisivit a Michaele de Lasruschas"/>
  </r>
  <r>
    <n v="651"/>
    <s v="Johanis"/>
    <x v="45"/>
    <s v="H"/>
    <n v="1343"/>
    <s v="Avril"/>
    <n v="29"/>
    <x v="3"/>
    <s v="De la Pinea"/>
    <m/>
    <m/>
    <m/>
    <m/>
    <m/>
    <m/>
    <m/>
    <m/>
  </r>
  <r>
    <n v="661"/>
    <s v="Michael"/>
    <x v="45"/>
    <s v="H"/>
    <n v="1343"/>
    <s v="Avril"/>
    <n v="29"/>
    <x v="1"/>
    <m/>
    <s v="Sitas apud Lasruschas"/>
    <m/>
    <m/>
    <m/>
    <m/>
    <m/>
    <m/>
    <m/>
  </r>
  <r>
    <n v="1304"/>
    <s v="Andree"/>
    <x v="46"/>
    <s v="H"/>
    <n v="1386"/>
    <s v="Octobre"/>
    <n v="28"/>
    <x v="75"/>
    <m/>
    <s v="Sitas in territorio de Las Sanhas"/>
    <s v="Terra Johannis Masnerii (a duabus partibus)"/>
    <s v="Terra domini de Micheto "/>
    <s v="Chadium Castri Novi"/>
    <m/>
    <m/>
    <m/>
    <s v="Johanne Masnerii Acquisivit a Bernardo, Johanneto et Guillermo de Ruppe"/>
  </r>
  <r>
    <n v="1304"/>
    <s v="Andree"/>
    <x v="46"/>
    <s v="H"/>
    <n v="1386"/>
    <s v="Octobre"/>
    <n v="28"/>
    <x v="75"/>
    <m/>
    <s v="Sitas in territorio de Las Sanhas"/>
    <s v="Vinea domoni Castri Novi"/>
    <s v="Terra domini de Micheto"/>
    <s v="Terra Johannis Masnerii"/>
    <m/>
    <m/>
    <m/>
    <s v="Johanne Masnerii Acquisivit a Bernardo, Johanneto et Guillermo de Ruppe"/>
  </r>
  <r>
    <n v="1304"/>
    <s v="Andree"/>
    <x v="46"/>
    <s v="H"/>
    <n v="1386"/>
    <s v="Octobre"/>
    <n v="28"/>
    <x v="75"/>
    <m/>
    <s v="Sitas in territorio de Las Sanhas"/>
    <s v="Vinea Nicholay Rivi Tori (a duabus partibus)"/>
    <s v="Vinea Johannis Filhastre Ruppe Bone"/>
    <s v="Vinea Sancti Bolais Ruppe Bonis"/>
    <m/>
    <m/>
    <m/>
    <s v="Johanne Masnerii Acquisivit a Bernardo, Johanneto et Guillermo de Ruppe"/>
  </r>
  <r>
    <n v="1651"/>
    <s v="Vitalis"/>
    <x v="47"/>
    <s v="H"/>
    <n v="1343"/>
    <s v="Avril"/>
    <n v="4"/>
    <x v="0"/>
    <m/>
    <s v="Sita in territorio de Lermet"/>
    <s v="Nemus suum"/>
    <s v="Pratum suum"/>
    <s v="Rivo mansi de Mundo"/>
    <s v="Nemore et pasturali de Michel de Lermet"/>
    <s v="Terra et pasturali Columbete de Sancto Agrippano"/>
    <m/>
    <m/>
  </r>
  <r>
    <n v="1651"/>
    <s v="Vitalis"/>
    <x v="47"/>
    <s v="H"/>
    <n v="1343"/>
    <s v="Avril"/>
    <n v="4"/>
    <x v="33"/>
    <m/>
    <m/>
    <s v="Terre petiam sua"/>
    <s v="Pratum suum"/>
    <s v="Rivo mansi de Mundo"/>
    <s v="Nemore et pasturali de Michel de Lermet"/>
    <s v="Terra et pasturali Columbete de Sancto Agrippano"/>
    <m/>
    <m/>
  </r>
  <r>
    <n v="1651"/>
    <s v="Vitalis"/>
    <x v="47"/>
    <s v="H"/>
    <n v="1343"/>
    <s v="Avril"/>
    <n v="4"/>
    <x v="4"/>
    <m/>
    <m/>
    <s v="Nemus suum"/>
    <s v="Terre petiam suam"/>
    <s v="Rivo mansi de Mundo"/>
    <s v="Nemore et pasturali de Michel de Lermet"/>
    <s v="Terra et pasturali Columbete de Sancto Agrippano"/>
    <m/>
    <m/>
  </r>
  <r>
    <n v="1651"/>
    <s v="Vitalis"/>
    <x v="47"/>
    <s v="H"/>
    <n v="1343"/>
    <s v="Avril"/>
    <n v="4"/>
    <x v="0"/>
    <m/>
    <s v="Site supra domum Michaelis de Lermet"/>
    <s v="Terra heredum Martini de Hereone"/>
    <s v="Terra heredum Martini de Hereone"/>
    <m/>
    <m/>
    <m/>
    <m/>
    <m/>
  </r>
  <r>
    <n v="1661"/>
    <s v="Columbeta"/>
    <x v="47"/>
    <s v="F"/>
    <n v="1343"/>
    <s v="Avril"/>
    <n v="4"/>
    <x v="0"/>
    <m/>
    <s v="Sita in territorio de Lermet"/>
    <s v="Nemus suum"/>
    <s v="Pasturale sua"/>
    <s v="Rivo de Mundo"/>
    <s v="Nemore et pasturali Piero de Hereone"/>
    <m/>
    <m/>
    <m/>
  </r>
  <r>
    <n v="1661"/>
    <s v="Columbeta"/>
    <x v="47"/>
    <s v="F"/>
    <n v="1343"/>
    <s v="Avril"/>
    <n v="4"/>
    <x v="33"/>
    <m/>
    <s v="Sita in territorio de Lermet"/>
    <s v="Pasturale sua"/>
    <s v="Petiem terre sua"/>
    <s v="Rivo de Mundo"/>
    <s v="Nemore et pasturali Piero de Hereone"/>
    <m/>
    <m/>
    <m/>
  </r>
  <r>
    <n v="1661"/>
    <s v="Columbeta"/>
    <x v="47"/>
    <s v="F"/>
    <n v="1343"/>
    <s v="Avril"/>
    <n v="4"/>
    <x v="15"/>
    <m/>
    <s v="Sita in territorio de Lermet"/>
    <s v="Nemus suum"/>
    <s v="Petiem terre sua"/>
    <s v="Rivo de Mundo"/>
    <s v="Nemore et pasturali Piero de Hereone"/>
    <m/>
    <m/>
    <m/>
  </r>
  <r>
    <n v="1661"/>
    <s v="Columbeta"/>
    <x v="47"/>
    <s v="F"/>
    <n v="1343"/>
    <s v="Avril"/>
    <n v="4"/>
    <x v="0"/>
    <m/>
    <s v="Sitam in loco de Lermet"/>
    <s v="Terra Andree eius sororis"/>
    <s v="Terra Beatricis uxoris Vitalis Comptiris"/>
    <m/>
    <m/>
    <m/>
    <m/>
    <m/>
  </r>
  <r>
    <n v="1661"/>
    <s v="Columbeta"/>
    <x v="47"/>
    <s v="F"/>
    <n v="1343"/>
    <s v="Avril"/>
    <n v="4"/>
    <x v="3"/>
    <m/>
    <s v="Sitam in cruce de Lermet"/>
    <s v="Terra Beatricis uxoris Vitalis Comptiris"/>
    <s v="Terra heredum Nicholay de Hereo"/>
    <m/>
    <m/>
    <m/>
    <m/>
    <m/>
  </r>
  <r>
    <n v="1661"/>
    <s v="Columbeta"/>
    <x v="47"/>
    <s v="F"/>
    <n v="1343"/>
    <s v="Avril"/>
    <n v="4"/>
    <x v="0"/>
    <m/>
    <s v="Sita recto domum Michaelis de Lermet"/>
    <s v="Terra Michaelis de Lermet"/>
    <s v="Terra heredum Peyruchonis eius fratris"/>
    <m/>
    <m/>
    <m/>
    <m/>
    <m/>
  </r>
  <r>
    <n v="1671"/>
    <s v="Johanneta"/>
    <x v="47"/>
    <s v="F"/>
    <n v="1343"/>
    <s v="Avril"/>
    <n v="4"/>
    <x v="0"/>
    <m/>
    <s v="Sita apud Lermet"/>
    <s v="Nemore, prato et terra Beatricis uxoris Vitalis Comptoris"/>
    <s v="Prato et nemoris Michaelis de Lermet"/>
    <m/>
    <m/>
    <m/>
    <m/>
    <m/>
  </r>
  <r>
    <n v="1671"/>
    <s v="Johanneta"/>
    <x v="47"/>
    <s v="F"/>
    <n v="1343"/>
    <s v="Avril"/>
    <n v="4"/>
    <x v="23"/>
    <m/>
    <s v="Sita apud Lermet"/>
    <s v="Nemore, prato et terra Beatricis uxoris Vitalis Comptoris"/>
    <s v="Prato et nemoris Michaelis de Lermet"/>
    <m/>
    <m/>
    <m/>
    <m/>
    <m/>
  </r>
  <r>
    <n v="1671"/>
    <s v="Johanneta"/>
    <x v="47"/>
    <s v="F"/>
    <n v="1343"/>
    <s v="Avril"/>
    <n v="4"/>
    <x v="24"/>
    <m/>
    <s v="Sita apud Lermet"/>
    <s v="Nemore, prato et terra Beatricis uxoris Vitalis Comptoris"/>
    <s v="Prato et nemoris Michaelis de Lermet"/>
    <m/>
    <m/>
    <m/>
    <m/>
    <m/>
  </r>
  <r>
    <n v="1671"/>
    <s v="Johanneta"/>
    <x v="47"/>
    <s v="F"/>
    <n v="1343"/>
    <s v="Avril"/>
    <n v="4"/>
    <x v="0"/>
    <m/>
    <s v="Sita apud Lermet"/>
    <s v="Terra columbe de Sancto Agrippano"/>
    <s v="Terra Michaelis de Lermet"/>
    <m/>
    <m/>
    <m/>
    <m/>
    <m/>
  </r>
  <r>
    <n v="1671"/>
    <s v="Johanneta"/>
    <x v="47"/>
    <s v="F"/>
    <n v="1343"/>
    <s v="Avril"/>
    <n v="4"/>
    <x v="3"/>
    <m/>
    <s v="Sita in manso de Lermet"/>
    <s v="Prato et pasturalis Nicholay de Hereone"/>
    <s v="Nemore Piero de Hereo"/>
    <m/>
    <m/>
    <m/>
    <m/>
    <m/>
  </r>
  <r>
    <n v="1671"/>
    <s v="Johanneta"/>
    <x v="47"/>
    <s v="F"/>
    <n v="1343"/>
    <s v="Avril"/>
    <n v="4"/>
    <x v="12"/>
    <m/>
    <s v="Sita in manso de Lermet"/>
    <s v="Prato et pasturalis Nicholay de Hereone"/>
    <s v="Nemore Piero de Hereo"/>
    <m/>
    <m/>
    <m/>
    <m/>
    <m/>
  </r>
  <r>
    <n v="1671"/>
    <s v="Johanneta"/>
    <x v="47"/>
    <s v="F"/>
    <n v="1343"/>
    <s v="Avril"/>
    <n v="4"/>
    <x v="23"/>
    <m/>
    <s v="Sita in manso de Lermet"/>
    <s v="Prato et pasturalis Nicholay de Hereone"/>
    <s v="Nemore Piero de Hereo"/>
    <m/>
    <m/>
    <m/>
    <m/>
    <m/>
  </r>
  <r>
    <n v="1671"/>
    <s v="Johanneta"/>
    <x v="47"/>
    <s v="F"/>
    <n v="1343"/>
    <s v="Avril"/>
    <n v="4"/>
    <x v="0"/>
    <m/>
    <s v="Sitam in loco de Lermet"/>
    <s v="Terra Andree de Hereo"/>
    <s v="Terra heredum Nicholay de Hereo"/>
    <m/>
    <m/>
    <m/>
    <m/>
    <m/>
  </r>
  <r>
    <n v="1691"/>
    <s v="Andrena"/>
    <x v="47"/>
    <s v="H"/>
    <n v="1343"/>
    <s v="Avril"/>
    <n v="16"/>
    <x v="60"/>
    <m/>
    <s v="Sitam apud Freidas Peres"/>
    <s v="Besseta Petronille uxoris Bartholomei Molati"/>
    <s v="Prato vocato de Fonte Frigido"/>
    <m/>
    <m/>
    <m/>
    <m/>
    <m/>
  </r>
  <r>
    <n v="1691"/>
    <s v="Andrena"/>
    <x v="47"/>
    <s v="H"/>
    <n v="1343"/>
    <s v="Avril"/>
    <n v="16"/>
    <x v="8"/>
    <m/>
    <s v="Sitam juxta crucem de Lermetam"/>
    <s v="Terra Columbete de Clamers"/>
    <s v="Terra Guillermi sub de Hereo "/>
    <m/>
    <m/>
    <m/>
    <m/>
    <m/>
  </r>
  <r>
    <n v="1691"/>
    <s v="Andrena"/>
    <x v="47"/>
    <s v="H"/>
    <n v="1343"/>
    <s v="Avril"/>
    <n v="16"/>
    <x v="8"/>
    <s v="Pra Lermos"/>
    <s v="Pra uxoris Pra uxoris Bartholomei Molati"/>
    <s v="Via per quam itur de Sacnto Jorio den Dairies versus Sanctum Agrippanum"/>
    <s v="Terra uxoris Vitalis Comptonis"/>
    <m/>
    <m/>
    <m/>
    <m/>
    <m/>
  </r>
  <r>
    <n v="1691"/>
    <s v="Andrena"/>
    <x v="47"/>
    <s v="H"/>
    <n v="1343"/>
    <s v="Avril"/>
    <n v="16"/>
    <x v="4"/>
    <s v="Pra Lermos"/>
    <s v="Pra uxoris Pra uxoris Bartholomei Molati"/>
    <s v="Via per quam itur de Sacnto Jorio den Dairies versus Sanctum Agrippanum"/>
    <s v="Terra uxoris Vitalis Comptonis"/>
    <m/>
    <m/>
    <m/>
    <m/>
    <m/>
  </r>
  <r>
    <n v="1691"/>
    <s v="Andrena"/>
    <x v="47"/>
    <s v="H"/>
    <n v="1343"/>
    <s v="Avril"/>
    <n v="16"/>
    <x v="8"/>
    <s v="De Supra Bessam"/>
    <s v="Terra Johannis Jarras"/>
    <s v="Terra uxoris Vitalis Comptoris"/>
    <m/>
    <m/>
    <m/>
    <m/>
    <m/>
    <m/>
  </r>
  <r>
    <n v="1691"/>
    <s v="Andrena"/>
    <x v="47"/>
    <s v="H"/>
    <n v="1343"/>
    <s v="Avril"/>
    <n v="16"/>
    <x v="27"/>
    <s v="Pra Chalin"/>
    <s v="Sitam in territorio de Podio de Chalninhac"/>
    <s v="Prato heredum Peyruchonis de Hereo"/>
    <s v="Terra Dens Vinatz de Malaval"/>
    <m/>
    <m/>
    <m/>
    <m/>
    <m/>
  </r>
  <r>
    <n v="1851"/>
    <s v="Guillermis"/>
    <x v="48"/>
    <s v="H"/>
    <n v="1344"/>
    <s v="Mai"/>
    <n v="10"/>
    <x v="3"/>
    <m/>
    <s v="Sitam apud Lobas del Moli"/>
    <s v="Petiam terre sua vocata Lo Cros del Moli"/>
    <s v="Petia Johannis Grassati"/>
    <m/>
    <m/>
    <m/>
    <m/>
    <m/>
  </r>
  <r>
    <n v="1851"/>
    <s v="Guillermis"/>
    <x v="48"/>
    <s v="H"/>
    <n v="1344"/>
    <s v="Mai"/>
    <n v="10"/>
    <x v="3"/>
    <s v="Lubac"/>
    <m/>
    <s v="Terra Petri Rebolet"/>
    <s v="Terra Johannis Grissati"/>
    <m/>
    <m/>
    <m/>
    <m/>
    <m/>
  </r>
  <r>
    <n v="1851"/>
    <s v="Guillermis"/>
    <x v="48"/>
    <s v="H"/>
    <n v="1344"/>
    <s v="Mai"/>
    <n v="10"/>
    <x v="4"/>
    <m/>
    <m/>
    <s v="Rivo qui desendit de Fonto de Posato"/>
    <s v="Prato Andree Bansonis parochie de Posato"/>
    <s v="Terra Andree Bansonis parochie de Posato"/>
    <m/>
    <m/>
    <m/>
    <m/>
  </r>
  <r>
    <n v="1851"/>
    <s v="Guillermis"/>
    <x v="48"/>
    <s v="H"/>
    <n v="1344"/>
    <s v="Mai"/>
    <n v="10"/>
    <x v="0"/>
    <m/>
    <m/>
    <s v="Pratum suum"/>
    <m/>
    <m/>
    <m/>
    <m/>
    <m/>
    <m/>
  </r>
  <r>
    <n v="1851"/>
    <s v="Guillermis"/>
    <x v="48"/>
    <s v="H"/>
    <n v="1344"/>
    <s v="Mai"/>
    <n v="10"/>
    <x v="8"/>
    <m/>
    <s v="Sitam in manso de Rebolet"/>
    <s v="Terra Petri Reboleti"/>
    <s v="Terra Johannis Grissati"/>
    <s v="Terra Guillermi Brossonis"/>
    <s v="Prato Guillermi Brossonis"/>
    <m/>
    <m/>
    <m/>
  </r>
  <r>
    <n v="1881"/>
    <s v="Philippo + Johanne"/>
    <x v="49"/>
    <s v="G"/>
    <n v="1407"/>
    <s v="Juin"/>
    <n v="3"/>
    <x v="52"/>
    <s v="De Pignota"/>
    <m/>
    <s v="Terres Petri de Sugul Panet"/>
    <s v="Durani de Bertos"/>
    <s v="Terres Pondolionnot"/>
    <s v="Terra Penollo de Peno que tenor ditur ab hospitali Sancti Agrippani"/>
    <m/>
    <m/>
    <m/>
  </r>
  <r>
    <n v="1881"/>
    <s v="Philippo + Johanne"/>
    <x v="49"/>
    <s v="G"/>
    <n v="1407"/>
    <s v="Juin"/>
    <n v="3"/>
    <x v="15"/>
    <s v="De Pignota"/>
    <m/>
    <s v="Terres Petri de Sugul Panet"/>
    <s v="Durani de Bertos"/>
    <s v="Terres Pondolionnot"/>
    <s v="Terra Penollo de Peno que tenor ditur ab hospitali Sancti Agrippani"/>
    <m/>
    <m/>
    <m/>
  </r>
  <r>
    <n v="1881"/>
    <s v="Philippo + Johanne"/>
    <x v="49"/>
    <s v="G"/>
    <n v="1407"/>
    <s v="Juin"/>
    <n v="3"/>
    <x v="4"/>
    <s v="Dens Valetes"/>
    <m/>
    <s v="Terra Petri De Liomme quadam rivo medio"/>
    <m/>
    <m/>
    <m/>
    <m/>
    <m/>
    <m/>
  </r>
  <r>
    <n v="1881"/>
    <s v="Philippo + Johanne"/>
    <x v="49"/>
    <s v="G"/>
    <n v="1407"/>
    <s v="Juin"/>
    <n v="3"/>
    <x v="11"/>
    <s v="Loba Pendua"/>
    <m/>
    <s v="Calma Jud' Vitalis de pereiro"/>
    <s v="Itinere publico tendens de Devesseto apud Sanctum Agrippanum prout facit mot' quidpanes juxta iter positis"/>
    <m/>
    <m/>
    <m/>
    <m/>
    <m/>
  </r>
  <r>
    <n v="301"/>
    <s v="Johane"/>
    <x v="50"/>
    <s v="H"/>
    <n v="1343"/>
    <s v="Avril"/>
    <n v="5"/>
    <x v="12"/>
    <s v="De Larialha"/>
    <m/>
    <s v="Ses propres terres"/>
    <s v="Terre Domine de Lardayrol sine de Veilharma"/>
    <s v="Territorio vocato Dens Clotz"/>
    <m/>
    <m/>
    <m/>
    <m/>
  </r>
  <r>
    <n v="301"/>
    <s v="Johane"/>
    <x v="50"/>
    <s v="H"/>
    <n v="1343"/>
    <s v="Avril"/>
    <n v="5"/>
    <x v="34"/>
    <m/>
    <m/>
    <s v="Juxta calmam Dens Bayilhs"/>
    <s v="Terra Johanis de Chalmis"/>
    <s v="Terra Petri Raymundi"/>
    <m/>
    <m/>
    <m/>
    <m/>
  </r>
  <r>
    <n v="301"/>
    <s v="Johane"/>
    <x v="50"/>
    <s v="H"/>
    <n v="1343"/>
    <s v="Avril"/>
    <n v="5"/>
    <x v="76"/>
    <m/>
    <s v="Teritorii Dens Clotz"/>
    <s v="Terra dicti Petri Raymundi"/>
    <s v="Terra illorum Dens Masens"/>
    <s v="Ses propres terres"/>
    <m/>
    <m/>
    <m/>
    <m/>
  </r>
  <r>
    <n v="301"/>
    <s v="Johane"/>
    <x v="50"/>
    <s v="H"/>
    <n v="1343"/>
    <s v="Avril"/>
    <n v="5"/>
    <x v="77"/>
    <s v="Dens Bayilh"/>
    <s v="Territorio de Maysonetis"/>
    <m/>
    <m/>
    <m/>
    <m/>
    <m/>
    <m/>
    <s v="Promidunso cum diminis de Bello Prandici"/>
  </r>
  <r>
    <n v="1031"/>
    <s v="Johannes"/>
    <x v="51"/>
    <s v="H"/>
    <n v="1343"/>
    <s v="Maii"/>
    <n v="13"/>
    <x v="1"/>
    <m/>
    <s v="Sitas apud Malagayta"/>
    <m/>
    <m/>
    <m/>
    <m/>
    <m/>
    <m/>
    <m/>
  </r>
  <r>
    <n v="1031"/>
    <s v="Johannes"/>
    <x v="51"/>
    <s v="H"/>
    <n v="1343"/>
    <s v="Maii"/>
    <n v="13"/>
    <x v="29"/>
    <m/>
    <s v="Sitos in loco de Malagayta"/>
    <m/>
    <m/>
    <m/>
    <m/>
    <m/>
    <m/>
    <m/>
  </r>
  <r>
    <n v="1031"/>
    <s v="Johannes"/>
    <x v="51"/>
    <s v="H"/>
    <n v="1343"/>
    <s v="Maii"/>
    <n v="13"/>
    <x v="6"/>
    <m/>
    <s v="Territorio de Malagayta"/>
    <s v="Terra hominium nobilis Guillermis de Castel Noven in boteria militits"/>
    <s v="Terra de Bosmeia et de Croseto"/>
    <s v="Terra Guillermi baiuli de Fayno"/>
    <s v="Terra heredum Poncii de Marena domicelli condam"/>
    <s v="Aqua limonis"/>
    <m/>
    <m/>
  </r>
  <r>
    <n v="1031"/>
    <s v="Johannes"/>
    <x v="51"/>
    <s v="H"/>
    <n v="1343"/>
    <s v="Maii"/>
    <n v="13"/>
    <x v="24"/>
    <m/>
    <m/>
    <m/>
    <m/>
    <m/>
    <m/>
    <m/>
    <m/>
    <s v="Qui erint a Guillermo de Malagayta donato Hosptalis"/>
  </r>
  <r>
    <n v="1031"/>
    <s v="Johannes"/>
    <x v="51"/>
    <s v="H"/>
    <n v="1343"/>
    <s v="Maii"/>
    <n v="13"/>
    <x v="12"/>
    <m/>
    <m/>
    <m/>
    <m/>
    <m/>
    <m/>
    <m/>
    <m/>
    <s v="Qui erint a Guillermo de Malagayta donato Hosptalis"/>
  </r>
  <r>
    <n v="1031"/>
    <s v="Johannes"/>
    <x v="51"/>
    <s v="H"/>
    <n v="1343"/>
    <s v="Maii"/>
    <n v="13"/>
    <x v="8"/>
    <m/>
    <m/>
    <m/>
    <m/>
    <m/>
    <m/>
    <m/>
    <m/>
    <s v="Qui erint a Guillermo de Malagayta donato Hosptalis"/>
  </r>
  <r>
    <n v="1031"/>
    <s v="Johannes"/>
    <x v="51"/>
    <s v="H"/>
    <n v="1343"/>
    <s v="Maii"/>
    <n v="13"/>
    <x v="0"/>
    <s v="De la Jarosseria"/>
    <m/>
    <m/>
    <m/>
    <m/>
    <m/>
    <m/>
    <m/>
    <s v="Quam erint a Blancha del Bost et eius fratre"/>
  </r>
  <r>
    <n v="1051"/>
    <s v="Johannes"/>
    <x v="51"/>
    <s v="H"/>
    <n v="1343"/>
    <s v="Maii"/>
    <n v="13"/>
    <x v="7"/>
    <m/>
    <s v="Sitam apud Malagayta"/>
    <m/>
    <m/>
    <m/>
    <m/>
    <m/>
    <m/>
    <m/>
  </r>
  <r>
    <n v="1051"/>
    <s v="Johannes"/>
    <x v="51"/>
    <s v="H"/>
    <n v="1343"/>
    <s v="Maii"/>
    <n v="13"/>
    <x v="52"/>
    <m/>
    <m/>
    <m/>
    <m/>
    <m/>
    <m/>
    <m/>
    <m/>
    <s v="Quar erint a Andree de Malagayta condam"/>
  </r>
  <r>
    <n v="1051"/>
    <s v="Johannes"/>
    <x v="51"/>
    <s v="H"/>
    <n v="1343"/>
    <s v="Maii"/>
    <n v="13"/>
    <x v="52"/>
    <m/>
    <m/>
    <m/>
    <m/>
    <m/>
    <m/>
    <m/>
    <m/>
    <s v="Quas erint a Guillermo de Malagayta donato Hospitalis"/>
  </r>
  <r>
    <n v="1061"/>
    <s v="Vitalis"/>
    <x v="51"/>
    <s v="H"/>
    <n v="1343"/>
    <s v="Maii"/>
    <n v="13"/>
    <x v="7"/>
    <m/>
    <s v="Sitam apud Malagaita"/>
    <m/>
    <m/>
    <m/>
    <m/>
    <m/>
    <m/>
    <m/>
  </r>
  <r>
    <n v="1062"/>
    <s v="Petrus"/>
    <x v="51"/>
    <s v="H"/>
    <n v="1360"/>
    <s v="Mars"/>
    <n v="24"/>
    <x v="0"/>
    <m/>
    <s v="Stitam in Coastibanya infra terri territorium de Malagayta"/>
    <s v="Terra petia Petri Pelhisserii de Malagayta"/>
    <s v="Terre petia Johannis de Boscp Medio"/>
    <s v="Mesiis de Malagayta"/>
    <m/>
    <m/>
    <m/>
    <m/>
  </r>
  <r>
    <n v="1062"/>
    <s v="Petrus"/>
    <x v="51"/>
    <s v="H"/>
    <n v="1360"/>
    <s v="Mars"/>
    <n v="24"/>
    <x v="0"/>
    <m/>
    <m/>
    <m/>
    <m/>
    <m/>
    <m/>
    <m/>
    <m/>
    <s v="Johannes de Bosco Medio aquisivit a Blanchia de Bosco (sur l même document que évoqué)"/>
  </r>
  <r>
    <n v="1071"/>
    <s v="Clemens"/>
    <x v="51"/>
    <s v="H"/>
    <n v="1343"/>
    <s v="Maii"/>
    <n v="13"/>
    <x v="1"/>
    <m/>
    <s v="Sitas apud Malagayta"/>
    <m/>
    <m/>
    <m/>
    <m/>
    <m/>
    <m/>
    <m/>
  </r>
  <r>
    <n v="1071"/>
    <s v="Clemens"/>
    <x v="51"/>
    <s v="H"/>
    <n v="1343"/>
    <s v="Maii"/>
    <n v="13"/>
    <x v="8"/>
    <m/>
    <s v="Sita in manso de Masferiol et Chanblando, infra territorio de Malagayta"/>
    <m/>
    <m/>
    <m/>
    <m/>
    <m/>
    <m/>
    <s v="Quam erint a Guillermo de Malagayta donato Hosptalis"/>
  </r>
  <r>
    <n v="1071"/>
    <s v="Clemens"/>
    <x v="51"/>
    <s v="H"/>
    <n v="1343"/>
    <s v="Maii"/>
    <n v="13"/>
    <x v="78"/>
    <s v="Las Blachas"/>
    <m/>
    <m/>
    <m/>
    <m/>
    <m/>
    <m/>
    <m/>
    <s v="Quam erint a Guillermo de Malagayta donato Hosptalis"/>
  </r>
  <r>
    <n v="1071"/>
    <s v="Clemens"/>
    <x v="51"/>
    <s v="H"/>
    <n v="1343"/>
    <s v="Maii"/>
    <n v="13"/>
    <x v="8"/>
    <s v="De Bolamo"/>
    <m/>
    <m/>
    <m/>
    <m/>
    <m/>
    <m/>
    <m/>
    <s v="Quar erint a Andree de Malagayta condam"/>
  </r>
  <r>
    <n v="1081"/>
    <s v="Johannes"/>
    <x v="51"/>
    <s v="H"/>
    <n v="1343"/>
    <s v="Mai"/>
    <n v="13"/>
    <x v="7"/>
    <m/>
    <s v="Sitam apud Malagayta"/>
    <m/>
    <m/>
    <m/>
    <m/>
    <m/>
    <m/>
    <m/>
  </r>
  <r>
    <n v="1091"/>
    <s v="Petrus"/>
    <x v="51"/>
    <s v="H"/>
    <n v="1343"/>
    <s v="Mai"/>
    <n v="13"/>
    <x v="1"/>
    <m/>
    <s v="Sitas in loco de Malagayta"/>
    <m/>
    <m/>
    <m/>
    <m/>
    <m/>
    <m/>
    <m/>
  </r>
  <r>
    <n v="1101"/>
    <s v="Guillermus"/>
    <x v="51"/>
    <s v="H"/>
    <n v="1343"/>
    <s v="Mai"/>
    <n v="13"/>
    <x v="7"/>
    <m/>
    <s v="Sitam apud Malagayta"/>
    <m/>
    <m/>
    <m/>
    <m/>
    <m/>
    <m/>
    <m/>
  </r>
  <r>
    <n v="1101"/>
    <s v="Guillermus"/>
    <x v="51"/>
    <s v="H"/>
    <n v="1343"/>
    <s v="Mai"/>
    <n v="13"/>
    <x v="78"/>
    <s v="Las Blachas"/>
    <m/>
    <m/>
    <m/>
    <m/>
    <m/>
    <m/>
    <m/>
    <s v="Quam aquisit a Blanchia del Boc"/>
  </r>
  <r>
    <n v="1772"/>
    <s v="Peyrotus et Johannes"/>
    <x v="52"/>
    <s v="G"/>
    <n v="1343"/>
    <s v="Décembre"/>
    <n v="8"/>
    <x v="15"/>
    <m/>
    <s v="Situm in territorio de Picota"/>
    <s v="Domus Devesseti"/>
    <s v="Rivo de Pereiro"/>
    <s v="Rivo de Malavalle"/>
    <s v="Terra Johannis de Roerii de Pererio quam tenet a dicto Hospitale"/>
    <m/>
    <m/>
    <m/>
  </r>
  <r>
    <n v="1772"/>
    <s v="Peyrotus et Johannes"/>
    <x v="52"/>
    <s v="G"/>
    <n v="1343"/>
    <s v="Décembre"/>
    <n v="8"/>
    <x v="33"/>
    <m/>
    <s v="Situm in territorio de Picota"/>
    <s v="Domus Devesseti"/>
    <s v="Rivo de Pereiro"/>
    <s v="Rivo de Malavalle"/>
    <s v="Terra Johannis de Roerii de Pererio quam tenet a dicto Hospitale"/>
    <m/>
    <m/>
    <m/>
  </r>
  <r>
    <n v="1772"/>
    <s v="Peyrotus et Johannes"/>
    <x v="52"/>
    <s v="G"/>
    <n v="1343"/>
    <s v="Décembre"/>
    <n v="8"/>
    <x v="4"/>
    <m/>
    <s v="Situm in prato a Chalin"/>
    <s v="Petia Johannis Girardi"/>
    <s v="Rivo de Malavalle"/>
    <m/>
    <m/>
    <m/>
    <m/>
    <m/>
  </r>
  <r>
    <n v="1781"/>
    <s v="Johannes"/>
    <x v="52"/>
    <s v="H"/>
    <n v="1343"/>
    <s v="Décembre"/>
    <n v="21"/>
    <x v="33"/>
    <m/>
    <s v="Situm in territorio de Picota"/>
    <s v="Manso de Perererio"/>
    <s v="Nemore Guillermi et Andree de Aulancherio"/>
    <s v="Terra de Picota quam tenent Petri et Johanni Pascalis de Valeta"/>
    <m/>
    <m/>
    <m/>
    <m/>
  </r>
  <r>
    <n v="1782"/>
    <s v="Johannes"/>
    <x v="52"/>
    <s v="H"/>
    <n v="1343"/>
    <s v="Décembre"/>
    <n v="21"/>
    <x v="33"/>
    <m/>
    <s v="Situm in territorio de Picota"/>
    <s v="Nemore Dens Pascals de la valeta"/>
    <s v="Campo Johanis Roerii"/>
    <m/>
    <m/>
    <m/>
    <m/>
    <m/>
  </r>
  <r>
    <n v="1782"/>
    <s v="Johannes"/>
    <x v="52"/>
    <s v="H"/>
    <n v="1343"/>
    <s v="Décembre"/>
    <n v="21"/>
    <x v="15"/>
    <m/>
    <m/>
    <s v="Nemus suum"/>
    <m/>
    <m/>
    <m/>
    <m/>
    <m/>
    <m/>
  </r>
  <r>
    <n v="1782"/>
    <s v="Johannes"/>
    <x v="52"/>
    <s v="H"/>
    <n v="1343"/>
    <s v="Décembre"/>
    <n v="21"/>
    <x v="4"/>
    <m/>
    <s v="Situm in territorio de prato Achalvi"/>
    <s v="Prata Johannis Girardi"/>
    <s v="Terra heredum Johannis de Las Sanhas"/>
    <m/>
    <m/>
    <m/>
    <m/>
    <m/>
  </r>
  <r>
    <n v="1591"/>
    <s v="Petrus "/>
    <x v="53"/>
    <s v="H"/>
    <n v="1342"/>
    <s v="Février"/>
    <n v="20"/>
    <x v="7"/>
    <m/>
    <s v="Sitam apud mansum del Malgnines"/>
    <m/>
    <m/>
    <m/>
    <m/>
    <m/>
    <m/>
    <m/>
  </r>
  <r>
    <n v="1591"/>
    <s v="Petrus "/>
    <x v="53"/>
    <s v="H"/>
    <n v="1342"/>
    <s v="Février"/>
    <n v="20"/>
    <x v="79"/>
    <m/>
    <s v="Sitas in loco del Malgnines"/>
    <s v="Domui sui"/>
    <s v="Manso de La Gleysola quod tenetus a castro veteris Armati"/>
    <s v="Terra cartina domus Devesseti"/>
    <m/>
    <m/>
    <m/>
    <m/>
  </r>
  <r>
    <n v="1591"/>
    <s v="Petrus "/>
    <x v="53"/>
    <s v="H"/>
    <n v="1342"/>
    <s v="Février"/>
    <n v="20"/>
    <x v="4"/>
    <m/>
    <m/>
    <s v="Orto suo"/>
    <s v="Manso de La Gleysola quod tenetus a castro veteris Armati"/>
    <s v="Terra cartina domus Devesseti"/>
    <m/>
    <m/>
    <m/>
    <m/>
  </r>
  <r>
    <n v="1591"/>
    <s v="Petrus "/>
    <x v="53"/>
    <s v="H"/>
    <n v="1342"/>
    <s v="Février"/>
    <n v="20"/>
    <x v="33"/>
    <m/>
    <s v="Situm apud Lo Malgnines"/>
    <m/>
    <m/>
    <m/>
    <m/>
    <m/>
    <m/>
    <m/>
  </r>
  <r>
    <n v="1591"/>
    <s v="Petrus "/>
    <x v="53"/>
    <s v="H"/>
    <n v="1342"/>
    <s v="Février"/>
    <n v="20"/>
    <x v="24"/>
    <m/>
    <s v="In loco del Magnines"/>
    <s v="Nemore sue"/>
    <s v="Manso de la Bastia"/>
    <s v="Sequendo cum nemore de la Socha quodo rivo inter dicta duo nemora inedio et frequendo dictum rium"/>
    <m/>
    <m/>
    <m/>
    <m/>
  </r>
  <r>
    <n v="1591"/>
    <s v="Petrus "/>
    <x v="53"/>
    <s v="H"/>
    <n v="1342"/>
    <s v="Février"/>
    <n v="20"/>
    <x v="23"/>
    <s v="De la Socha"/>
    <m/>
    <s v="Nemore de Talhaessa quo tenetur a domo predicta"/>
    <s v="Prato Andree Vitalis Cumba Menusil"/>
    <s v="Prato Vitalis de calma"/>
    <s v="Terra qua tenet a domo Devesseti in Vilanacgio"/>
    <m/>
    <m/>
    <s v="Quodo rivo inter dicta duo nemora inedio et frequendo dictum rium"/>
  </r>
  <r>
    <n v="521"/>
    <s v="Gregorius"/>
    <x v="54"/>
    <s v="H"/>
    <n v="1343"/>
    <s v="Avril"/>
    <n v="23"/>
    <x v="6"/>
    <m/>
    <s v="Locus de Masalibrant"/>
    <s v="Territorio de Lasruschas"/>
    <s v="Territorio de Bonofonte"/>
    <s v="Territorio de Paulhac"/>
    <m/>
    <m/>
    <m/>
    <m/>
  </r>
  <r>
    <n v="531"/>
    <s v="Johanis"/>
    <x v="54"/>
    <s v="H"/>
    <n v="1343"/>
    <s v="Avril"/>
    <n v="23"/>
    <x v="1"/>
    <m/>
    <s v="In manso de Masalibrant"/>
    <m/>
    <m/>
    <m/>
    <m/>
    <m/>
    <m/>
    <m/>
  </r>
  <r>
    <n v="541"/>
    <s v="Michael"/>
    <x v="54"/>
    <s v="H"/>
    <n v="1343"/>
    <s v="Avril"/>
    <n v="23"/>
    <x v="1"/>
    <m/>
    <s v="Sitas apud Masalibrant"/>
    <m/>
    <m/>
    <m/>
    <m/>
    <m/>
    <m/>
    <m/>
  </r>
  <r>
    <n v="541"/>
    <s v="Michael"/>
    <x v="54"/>
    <s v="H"/>
    <n v="1343"/>
    <s v="Avril"/>
    <n v="23"/>
    <x v="6"/>
    <m/>
    <s v="Territorium de Masalibrant"/>
    <s v="Territorio del Masel Girart et de Seletis"/>
    <s v="Territorio de Bonofonte"/>
    <s v="Territorio de Masdelone"/>
    <s v="Territorio de Lasruschas"/>
    <m/>
    <m/>
    <m/>
  </r>
  <r>
    <n v="551"/>
    <s v="Vitalis"/>
    <x v="54"/>
    <s v="H"/>
    <n v="1343"/>
    <s v="Avril"/>
    <n v="23"/>
    <x v="1"/>
    <m/>
    <s v="Sitas apud Masalibrant"/>
    <m/>
    <m/>
    <m/>
    <m/>
    <m/>
    <m/>
    <m/>
  </r>
  <r>
    <n v="552"/>
    <s v="Johane"/>
    <x v="54"/>
    <s v="H"/>
    <n v="1343"/>
    <m/>
    <s v="Die Martis post festum Beati Martini Yemalis"/>
    <x v="1"/>
    <m/>
    <s v="Sitas apud Masalibrant"/>
    <m/>
    <m/>
    <m/>
    <m/>
    <m/>
    <m/>
    <m/>
  </r>
  <r>
    <n v="561"/>
    <s v="Petrus"/>
    <x v="54"/>
    <s v="H"/>
    <n v="1343"/>
    <s v="Avril"/>
    <n v="23"/>
    <x v="1"/>
    <m/>
    <s v="Sitas apud Masalibrant"/>
    <m/>
    <m/>
    <m/>
    <m/>
    <m/>
    <m/>
    <m/>
  </r>
  <r>
    <n v="561"/>
    <s v="Petrus"/>
    <x v="54"/>
    <s v="H"/>
    <n v="1343"/>
    <s v="Avril"/>
    <n v="23"/>
    <x v="80"/>
    <m/>
    <s v="Sitas apud Masalibrant"/>
    <m/>
    <m/>
    <m/>
    <m/>
    <m/>
    <m/>
    <m/>
  </r>
  <r>
    <n v="561"/>
    <s v="Petrus"/>
    <x v="54"/>
    <s v="H"/>
    <n v="1343"/>
    <s v="Avril"/>
    <n v="23"/>
    <x v="6"/>
    <m/>
    <s v="Loco et territorio de Masalibrant"/>
    <s v="Territorio del Mazel"/>
    <s v="Territorio de Saletis de Bellux"/>
    <s v="Territorio de Las Ruschas"/>
    <s v="Territorio de Bonofonte"/>
    <s v="Terra de Paulhac"/>
    <m/>
    <m/>
  </r>
  <r>
    <n v="571"/>
    <s v="Perruchos"/>
    <x v="54"/>
    <s v="H"/>
    <n v="1343"/>
    <s v="Avril"/>
    <n v="23"/>
    <x v="1"/>
    <m/>
    <s v="Sitas apud Masalibrant"/>
    <m/>
    <m/>
    <m/>
    <m/>
    <m/>
    <m/>
    <m/>
  </r>
  <r>
    <n v="671"/>
    <s v="Michael"/>
    <x v="54"/>
    <s v="H"/>
    <n v="1343"/>
    <s v="Avril"/>
    <n v="29"/>
    <x v="1"/>
    <m/>
    <s v="Sitas apud Masalibrant"/>
    <m/>
    <m/>
    <m/>
    <m/>
    <m/>
    <m/>
    <m/>
  </r>
  <r>
    <n v="671"/>
    <s v="Michael"/>
    <x v="54"/>
    <s v="H"/>
    <n v="1343"/>
    <s v="Avril"/>
    <n v="29"/>
    <x v="6"/>
    <m/>
    <s v="Locus de Masalibrant"/>
    <s v="Territorio de Bonofonte"/>
    <s v="Territorio del Mazel Girart"/>
    <m/>
    <m/>
    <m/>
    <m/>
    <m/>
  </r>
  <r>
    <n v="681"/>
    <s v="Petrus"/>
    <x v="54"/>
    <s v="H"/>
    <n v="1343"/>
    <s v="Avril"/>
    <n v="29"/>
    <x v="7"/>
    <m/>
    <s v="Sitam apud Masalibrant"/>
    <m/>
    <m/>
    <m/>
    <m/>
    <m/>
    <m/>
    <m/>
  </r>
  <r>
    <n v="691"/>
    <s v="Benedicta"/>
    <x v="54"/>
    <s v="F"/>
    <n v="1343"/>
    <m/>
    <s v="Die Jonis post festum iunentionis sancte crucis"/>
    <x v="73"/>
    <m/>
    <s v="Situm apud Masalibrant"/>
    <m/>
    <m/>
    <m/>
    <m/>
    <m/>
    <m/>
    <m/>
  </r>
  <r>
    <n v="691"/>
    <s v="Benedicta"/>
    <x v="54"/>
    <s v="F"/>
    <n v="1343"/>
    <m/>
    <s v="Die Jonis post festum iunentionis sancte crucis"/>
    <x v="2"/>
    <m/>
    <s v="Situm in loco de Masalibrant"/>
    <m/>
    <m/>
    <m/>
    <m/>
    <m/>
    <m/>
    <m/>
  </r>
  <r>
    <n v="701"/>
    <s v="Blancha"/>
    <x v="54"/>
    <s v="F"/>
    <n v="1343"/>
    <m/>
    <s v="Die Jonis post festum iunentionis sancte crucis"/>
    <x v="73"/>
    <m/>
    <s v="Apud Masalibrant"/>
    <m/>
    <m/>
    <m/>
    <m/>
    <m/>
    <m/>
    <m/>
  </r>
  <r>
    <n v="811"/>
    <s v="Egidus"/>
    <x v="54"/>
    <s v="H"/>
    <n v="1343"/>
    <s v="Juin"/>
    <n v="16"/>
    <x v="7"/>
    <m/>
    <s v="Sitam apud Masalibrant"/>
    <m/>
    <m/>
    <m/>
    <m/>
    <m/>
    <m/>
    <m/>
  </r>
  <r>
    <n v="811"/>
    <s v="Egidus"/>
    <x v="54"/>
    <s v="H"/>
    <n v="1343"/>
    <s v="Juin"/>
    <n v="16"/>
    <x v="2"/>
    <m/>
    <s v="Situm in loco de Masalibrant"/>
    <m/>
    <m/>
    <m/>
    <m/>
    <m/>
    <m/>
    <m/>
  </r>
  <r>
    <n v="811"/>
    <s v="Egidus"/>
    <x v="54"/>
    <s v="H"/>
    <n v="1343"/>
    <s v="Juin"/>
    <n v="16"/>
    <x v="6"/>
    <m/>
    <s v="Locus de Masalibrant"/>
    <s v="Loco et territorio de Mundo"/>
    <s v="Territorio de Paulac"/>
    <s v="Teritorio de Bonofonte"/>
    <s v="Territorio de Matello Girandi"/>
    <s v="Territorio de Las Ruschas"/>
    <m/>
    <m/>
  </r>
  <r>
    <n v="881"/>
    <s v="Matheus et Johannes et Bartholomeus"/>
    <x v="54"/>
    <s v="H"/>
    <n v="1343"/>
    <s v="Novembre"/>
    <n v="30"/>
    <x v="52"/>
    <m/>
    <m/>
    <m/>
    <m/>
    <m/>
    <m/>
    <m/>
    <m/>
    <s v="Que fuerunt Petri Girardi condam"/>
  </r>
  <r>
    <n v="881"/>
    <s v="Matheus et Johannes et Bartholomeus"/>
    <x v="54"/>
    <s v="H"/>
    <n v="1343"/>
    <s v="Novembre"/>
    <n v="30"/>
    <x v="24"/>
    <m/>
    <m/>
    <m/>
    <m/>
    <m/>
    <m/>
    <m/>
    <m/>
    <s v="Que fuerunt Petri Girardi condam"/>
  </r>
  <r>
    <n v="881"/>
    <s v="Matheus et Johannes et Bartholomeus"/>
    <x v="54"/>
    <s v="H"/>
    <n v="1343"/>
    <s v="Novembre"/>
    <n v="30"/>
    <x v="52"/>
    <m/>
    <m/>
    <m/>
    <m/>
    <m/>
    <m/>
    <m/>
    <m/>
    <s v="Quas aquisiverunt Martini Girardi condam"/>
  </r>
  <r>
    <n v="881"/>
    <s v="Matheus et Johannes et Bartholomeus"/>
    <x v="54"/>
    <s v="H"/>
    <n v="1343"/>
    <s v="Novembre"/>
    <n v="30"/>
    <x v="6"/>
    <m/>
    <m/>
    <m/>
    <m/>
    <m/>
    <m/>
    <m/>
    <m/>
    <s v="Quas aquisiverunt Martini Girardi condam"/>
  </r>
  <r>
    <n v="881"/>
    <s v="Matheus et Johannes et Bartholomeus"/>
    <x v="54"/>
    <s v="H"/>
    <n v="1343"/>
    <s v="Novembre"/>
    <n v="30"/>
    <x v="52"/>
    <m/>
    <m/>
    <m/>
    <m/>
    <m/>
    <m/>
    <m/>
    <m/>
    <s v="Quod aquisiverunt de Aprila Blachona"/>
  </r>
  <r>
    <n v="881"/>
    <s v="Matheus et Johannes et Bartholomeus"/>
    <x v="54"/>
    <s v="H"/>
    <n v="1343"/>
    <s v="Novembre"/>
    <n v="30"/>
    <x v="52"/>
    <m/>
    <m/>
    <m/>
    <m/>
    <m/>
    <m/>
    <m/>
    <m/>
    <s v="Quas aquisiverunt de Egidio Blachonis, Jacineti Blachonis et Johanete Blachonis "/>
  </r>
  <r>
    <n v="881"/>
    <s v="Matheus et Johannes et Bartholomeus"/>
    <x v="54"/>
    <s v="H"/>
    <n v="1343"/>
    <s v="Novembre"/>
    <n v="30"/>
    <x v="15"/>
    <m/>
    <s v="Situm in peiere calme vocate de Lespital"/>
    <m/>
    <m/>
    <m/>
    <m/>
    <m/>
    <m/>
    <s v="Quod aquisiverunt de Luca Girardi"/>
  </r>
  <r>
    <n v="881"/>
    <s v="Matheus et Johannes et Bartholomeus"/>
    <x v="54"/>
    <s v="H"/>
    <n v="1343"/>
    <s v="Novembre"/>
    <n v="30"/>
    <x v="6"/>
    <m/>
    <s v="Territorio de Masalibrant"/>
    <s v="Territorio de Paulhac"/>
    <s v="Territorio de Matello Girardi"/>
    <s v="Territorio de Lasruchas"/>
    <m/>
    <m/>
    <m/>
    <m/>
  </r>
  <r>
    <n v="1841"/>
    <s v="Jacmeta"/>
    <x v="54"/>
    <s v="F"/>
    <n v="1343"/>
    <s v="Février"/>
    <n v="20"/>
    <x v="6"/>
    <m/>
    <s v="Siti un loco et territorio de Masalibrant"/>
    <m/>
    <m/>
    <m/>
    <m/>
    <m/>
    <m/>
    <s v="Partem et portionem que pertinet in tota hereditate qui condam fuit Jacobi Blachonis eius patris condam"/>
  </r>
  <r>
    <n v="1842"/>
    <s v="Johannes"/>
    <x v="54"/>
    <s v="H"/>
    <n v="1345"/>
    <m/>
    <s v="Die lune in festo de collationis beati Johannis"/>
    <x v="1"/>
    <m/>
    <s v="Sitas apud Masalibrant"/>
    <m/>
    <m/>
    <m/>
    <m/>
    <m/>
    <m/>
    <m/>
  </r>
  <r>
    <n v="1844"/>
    <s v="Marteta et Guillerma"/>
    <x v="54"/>
    <s v="G"/>
    <n v="1345"/>
    <s v="Septembre"/>
    <n v="11"/>
    <x v="7"/>
    <m/>
    <s v="Sitam apud Masalibrant"/>
    <m/>
    <m/>
    <m/>
    <m/>
    <m/>
    <m/>
    <m/>
  </r>
  <r>
    <n v="581"/>
    <s v="Gregorius"/>
    <x v="55"/>
    <s v="H"/>
    <n v="1343"/>
    <s v="Avril"/>
    <n v="29"/>
    <x v="81"/>
    <m/>
    <s v="Sitas in loco Del Mastortet parochie de Tensano aniciensis dyocesis"/>
    <s v="Carrerra publica Del Mastortet"/>
    <s v="Domo tenlanha Jacobi Albi de Mastortet"/>
    <m/>
    <m/>
    <m/>
    <m/>
    <m/>
  </r>
  <r>
    <n v="581"/>
    <s v="Gregorius"/>
    <x v="55"/>
    <s v="H"/>
    <n v="1343"/>
    <s v="Avril"/>
    <n v="29"/>
    <x v="82"/>
    <m/>
    <s v="Sitas in loco Del Mastortet parochie de Tensano aniciensis dyocesis"/>
    <s v="Suos domos tenlanhas"/>
    <s v="Terra domini Aniciensis episcopi"/>
    <m/>
    <m/>
    <m/>
    <m/>
    <m/>
  </r>
  <r>
    <n v="581"/>
    <s v="Gregorius"/>
    <x v="55"/>
    <s v="H"/>
    <n v="1343"/>
    <s v="Avril"/>
    <n v="29"/>
    <x v="52"/>
    <s v=" de Lasrialhas"/>
    <m/>
    <s v="Terra domini Aniciensis episcopi"/>
    <s v="Terra Jacobi Albi de Mastorte"/>
    <m/>
    <m/>
    <m/>
    <m/>
    <m/>
  </r>
  <r>
    <n v="581"/>
    <s v="Gregorius"/>
    <x v="55"/>
    <s v="H"/>
    <n v="1343"/>
    <s v="Avril"/>
    <n v="29"/>
    <x v="52"/>
    <s v="Laspineas"/>
    <s v="Sita in territorio vacato de Las Serors"/>
    <s v="Terra nobilis Guicharde de La Valeta domicelli"/>
    <s v="Terre petia Durandi Albi"/>
    <m/>
    <m/>
    <m/>
    <m/>
    <m/>
  </r>
  <r>
    <n v="581"/>
    <s v="Gregorius"/>
    <x v="55"/>
    <s v="H"/>
    <n v="1343"/>
    <s v="Avril"/>
    <n v="29"/>
    <x v="0"/>
    <s v="Durandi Albi"/>
    <m/>
    <m/>
    <m/>
    <m/>
    <m/>
    <m/>
    <m/>
    <s v="Petia quam tenet a domino eniciensis eipscopo"/>
  </r>
  <r>
    <n v="581"/>
    <s v="Gregorius"/>
    <x v="55"/>
    <s v="H"/>
    <n v="1343"/>
    <s v="Avril"/>
    <n v="29"/>
    <x v="23"/>
    <m/>
    <s v="In terris vulgariter appellatas Laspineas existentia"/>
    <m/>
    <m/>
    <m/>
    <m/>
    <m/>
    <m/>
    <m/>
  </r>
  <r>
    <n v="581"/>
    <s v="Gregorius"/>
    <x v="55"/>
    <s v="H"/>
    <n v="1343"/>
    <s v="Avril"/>
    <n v="29"/>
    <x v="8"/>
    <s v="Lestrita"/>
    <m/>
    <s v="Petie terre Peyruchonis Heraucerii"/>
    <s v="Terra domini Aniciensis episcopi"/>
    <s v="Petia Bertrand de Arbere"/>
    <m/>
    <m/>
    <m/>
    <m/>
  </r>
  <r>
    <n v="581"/>
    <s v="Gregorius"/>
    <x v="55"/>
    <s v="H"/>
    <n v="1343"/>
    <s v="Avril"/>
    <n v="29"/>
    <x v="24"/>
    <s v="Peroteriras"/>
    <m/>
    <s v="Prata Johanis de Arbore"/>
    <s v="Petia Johanis de Arbore"/>
    <m/>
    <m/>
    <m/>
    <m/>
    <m/>
  </r>
  <r>
    <n v="581"/>
    <s v="Gregorius"/>
    <x v="55"/>
    <s v="H"/>
    <n v="1343"/>
    <s v="Avril"/>
    <n v="29"/>
    <x v="24"/>
    <s v="Los Praals"/>
    <m/>
    <s v="Nemore de Sollemniaco"/>
    <s v="Prato Stephani Lhanterii"/>
    <m/>
    <m/>
    <m/>
    <m/>
    <m/>
  </r>
  <r>
    <n v="581"/>
    <s v="Gregorius"/>
    <x v="55"/>
    <s v="H"/>
    <n v="1343"/>
    <s v="Avril"/>
    <n v="29"/>
    <x v="12"/>
    <s v="Los Praals"/>
    <m/>
    <s v="Nemore de Sollemniaco"/>
    <s v="Prato Stephani Lhanterii"/>
    <m/>
    <m/>
    <m/>
    <m/>
    <m/>
  </r>
  <r>
    <n v="581"/>
    <s v="Gregorius"/>
    <x v="55"/>
    <s v="H"/>
    <n v="1343"/>
    <s v="Avril"/>
    <n v="29"/>
    <x v="3"/>
    <s v="Las Nantas"/>
    <m/>
    <s v="Terra domini Aniciensis episcopi"/>
    <s v="Terra prioratus de Tensano"/>
    <m/>
    <m/>
    <m/>
    <m/>
    <m/>
  </r>
  <r>
    <n v="581"/>
    <s v="Gregorius"/>
    <x v="55"/>
    <s v="H"/>
    <n v="1343"/>
    <s v="Avril"/>
    <n v="29"/>
    <x v="11"/>
    <m/>
    <m/>
    <s v="Sua petia vocata de Las Nantas"/>
    <m/>
    <m/>
    <m/>
    <m/>
    <m/>
    <m/>
  </r>
  <r>
    <n v="581"/>
    <s v="Gregorius"/>
    <x v="55"/>
    <s v="H"/>
    <n v="1343"/>
    <s v="Avril"/>
    <n v="29"/>
    <x v="7"/>
    <m/>
    <s v="Sitam apud Lo Mastertet"/>
    <s v="Patile Durandi Albi"/>
    <m/>
    <m/>
    <m/>
    <m/>
    <m/>
    <s v="Aquisivit a Blanchia Lutarda miliere-licgia dicti domini preceptoris"/>
  </r>
  <r>
    <n v="581"/>
    <s v="Gregorius"/>
    <x v="55"/>
    <s v="H"/>
    <n v="1343"/>
    <s v="Avril"/>
    <n v="29"/>
    <x v="82"/>
    <s v="Durandi Albi"/>
    <m/>
    <m/>
    <m/>
    <m/>
    <m/>
    <m/>
    <m/>
    <s v="Quod tenet a dicto domino preceptore"/>
  </r>
  <r>
    <n v="581"/>
    <s v="Gregorius"/>
    <x v="55"/>
    <s v="H"/>
    <n v="1343"/>
    <s v="Avril"/>
    <n v="29"/>
    <x v="2"/>
    <m/>
    <s v="Domum suum sitam apud Lo Mastertet"/>
    <m/>
    <m/>
    <m/>
    <m/>
    <m/>
    <m/>
    <m/>
  </r>
  <r>
    <n v="581"/>
    <s v="Gregorius"/>
    <x v="55"/>
    <s v="H"/>
    <n v="1343"/>
    <s v="Avril"/>
    <n v="29"/>
    <x v="8"/>
    <s v="De Lestralhas"/>
    <s v="Terra sua"/>
    <s v="Terra  eius fratris"/>
    <s v="Via qua itur Del Mastortet versus nemus Malansent"/>
    <m/>
    <m/>
    <m/>
    <m/>
    <m/>
  </r>
  <r>
    <n v="581"/>
    <s v="Gregorius"/>
    <x v="55"/>
    <s v="H"/>
    <n v="1343"/>
    <s v="Avril"/>
    <n v="29"/>
    <x v="83"/>
    <m/>
    <s v="Situm in territrio loci Del Mastortet"/>
    <s v="Prato Stephani Lhanterii"/>
    <m/>
    <m/>
    <m/>
    <m/>
    <m/>
    <m/>
  </r>
  <r>
    <n v="581"/>
    <s v="Gregorius"/>
    <x v="55"/>
    <s v="H"/>
    <n v="1343"/>
    <s v="Avril"/>
    <n v="29"/>
    <x v="33"/>
    <s v="Las Pinetas"/>
    <s v="Nemore Johanis de Arlore"/>
    <s v="Nemore suum"/>
    <m/>
    <m/>
    <m/>
    <m/>
    <m/>
    <m/>
  </r>
  <r>
    <n v="581"/>
    <s v="Gregorius"/>
    <x v="55"/>
    <s v="H"/>
    <n v="1343"/>
    <s v="Avril"/>
    <n v="29"/>
    <x v="8"/>
    <s v="De Lestraa"/>
    <s v="Terra Petri Lhanterii"/>
    <s v="Terra domini Aniciensis episcopi"/>
    <m/>
    <m/>
    <m/>
    <m/>
    <m/>
    <m/>
  </r>
  <r>
    <n v="581"/>
    <s v="Gregorius"/>
    <x v="55"/>
    <s v="H"/>
    <n v="1343"/>
    <s v="Avril"/>
    <n v="29"/>
    <x v="4"/>
    <s v="Sotena"/>
    <s v="Prato Jacobi Albi"/>
    <s v="Prato Durandi Albi eius patris"/>
    <m/>
    <m/>
    <m/>
    <m/>
    <m/>
    <m/>
  </r>
  <r>
    <n v="581"/>
    <s v="Gregorius"/>
    <x v="55"/>
    <s v="H"/>
    <n v="1343"/>
    <s v="Avril"/>
    <n v="29"/>
    <x v="4"/>
    <s v="Durandi Albi eius patris"/>
    <m/>
    <m/>
    <m/>
    <m/>
    <m/>
    <m/>
    <m/>
    <s v="Quod tenet a domino priorem de Tensano"/>
  </r>
  <r>
    <n v="581"/>
    <s v="Gregorius"/>
    <x v="55"/>
    <s v="H"/>
    <n v="1343"/>
    <s v="Avril"/>
    <n v="29"/>
    <x v="8"/>
    <s v="De Lafuantas"/>
    <s v="Petia terre Johanis de Arbore"/>
    <s v="Alia petia Johanis de Arbore"/>
    <m/>
    <m/>
    <m/>
    <m/>
    <m/>
    <m/>
  </r>
  <r>
    <n v="581"/>
    <s v="Gregorius"/>
    <x v="55"/>
    <s v="H"/>
    <n v="1343"/>
    <s v="Avril"/>
    <n v="29"/>
    <x v="3"/>
    <s v="Del Olot"/>
    <s v="Sitam in territorio Del Mastorter"/>
    <s v="Via qua itur Del Mastorter versus Mendigolas"/>
    <s v="Via que itur Del Mastortet versus Lagarda"/>
    <s v="Petia Jacobi Albi De Mastortet"/>
    <m/>
    <m/>
    <m/>
    <m/>
  </r>
  <r>
    <n v="581"/>
    <s v="Gregorius"/>
    <x v="55"/>
    <s v="H"/>
    <n v="1343"/>
    <s v="Avril"/>
    <n v="29"/>
    <x v="3"/>
    <m/>
    <s v="Sitam in territorio de la Garda"/>
    <s v="Via que itur Del Mastortet versus Lagarda"/>
    <s v="Termino de la Coasta"/>
    <s v="Petia terre Stephani fratris sui"/>
    <m/>
    <m/>
    <m/>
    <m/>
  </r>
  <r>
    <n v="581"/>
    <s v="Gregorius"/>
    <x v="55"/>
    <s v="H"/>
    <n v="1343"/>
    <s v="Avril"/>
    <n v="29"/>
    <x v="0"/>
    <s v="Stephani fratris sui"/>
    <m/>
    <m/>
    <m/>
    <m/>
    <m/>
    <m/>
    <m/>
    <s v="Quam tenet a domino aniciensis episcopi seu dicti Durandi patris sui"/>
  </r>
  <r>
    <n v="581"/>
    <s v="Gregorius"/>
    <x v="55"/>
    <s v="H"/>
    <n v="1343"/>
    <s v="Avril"/>
    <n v="29"/>
    <x v="2"/>
    <s v="Del Forii"/>
    <m/>
    <s v="Carrera publica del Mastortet"/>
    <s v="Orto Stephani Lhanterii"/>
    <m/>
    <m/>
    <m/>
    <m/>
    <m/>
  </r>
  <r>
    <n v="581"/>
    <s v="Gregorius"/>
    <x v="55"/>
    <s v="H"/>
    <n v="1343"/>
    <s v="Avril"/>
    <n v="29"/>
    <x v="2"/>
    <s v="Sultus Arbore"/>
    <s v="Prato Bertande de Arbore"/>
    <s v="Orto Jacobi Albi"/>
    <s v="Ortis Joganis et Girandi de Arbore"/>
    <m/>
    <m/>
    <m/>
    <m/>
    <m/>
  </r>
  <r>
    <n v="581"/>
    <s v="Gregorius"/>
    <x v="55"/>
    <s v="H"/>
    <n v="1343"/>
    <s v="Avril"/>
    <n v="29"/>
    <x v="8"/>
    <s v="La Peiroza"/>
    <s v="Sub via qua itur del Mastortet versus Mundum"/>
    <s v="Terra Martini de Arbore"/>
    <s v="Terra Johanis Lhanterii"/>
    <m/>
    <m/>
    <m/>
    <m/>
    <m/>
  </r>
  <r>
    <n v="581"/>
    <s v="Gregorius"/>
    <x v="55"/>
    <s v="H"/>
    <n v="1343"/>
    <s v="Avril"/>
    <n v="29"/>
    <x v="22"/>
    <s v="Dens Pinatens"/>
    <s v="Petias Johanis de Albor'"/>
    <s v="Terra Jacobi Albi"/>
    <m/>
    <m/>
    <m/>
    <m/>
    <m/>
    <m/>
  </r>
  <r>
    <n v="581"/>
    <s v="Gregorius"/>
    <x v="55"/>
    <s v="H"/>
    <n v="1343"/>
    <s v="Avril"/>
    <n v="29"/>
    <x v="33"/>
    <s v="De Sucoo Armandi"/>
    <m/>
    <s v="Nemore Stephani Lanterii"/>
    <m/>
    <m/>
    <m/>
    <m/>
    <m/>
    <m/>
  </r>
  <r>
    <n v="581"/>
    <s v="Gregorius"/>
    <x v="55"/>
    <s v="H"/>
    <n v="1343"/>
    <s v="Avril"/>
    <n v="29"/>
    <x v="3"/>
    <m/>
    <s v="Sitam subtus viam quod vennit Del Mastortet et vadit versus Mendigolas"/>
    <s v="Petia de La Clauza Durandi Albi"/>
    <s v="Nemore Johanis de Arbore"/>
    <m/>
    <m/>
    <m/>
    <m/>
    <m/>
  </r>
  <r>
    <n v="581"/>
    <s v="Gregorius"/>
    <x v="55"/>
    <s v="H"/>
    <n v="1343"/>
    <s v="Avril"/>
    <n v="29"/>
    <x v="33"/>
    <s v="De Las Pinetas"/>
    <s v="Situm in territorio Del Mastortet"/>
    <s v="Nemore Johanis de Arbore"/>
    <s v="Nemore Girandi de Arbore"/>
    <m/>
    <m/>
    <m/>
    <m/>
    <m/>
  </r>
  <r>
    <n v="581"/>
    <s v="Gregorius"/>
    <x v="55"/>
    <s v="H"/>
    <n v="1343"/>
    <s v="Avril"/>
    <n v="29"/>
    <x v="51"/>
    <m/>
    <s v="Situm in loco del Mastortet"/>
    <s v="Domo Bertrandi de Arbore"/>
    <m/>
    <m/>
    <m/>
    <m/>
    <m/>
    <m/>
  </r>
  <r>
    <n v="1371"/>
    <s v="Jacobus"/>
    <x v="55"/>
    <s v="H"/>
    <n v="1343"/>
    <s v="Octobre"/>
    <n v="26"/>
    <x v="1"/>
    <m/>
    <s v="Sitas in manso del Mastortet"/>
    <s v="Carreria publica loci de Mastortet"/>
    <s v="Orto suo"/>
    <m/>
    <m/>
    <m/>
    <m/>
    <s v="Domos Palhenchas"/>
  </r>
  <r>
    <n v="1371"/>
    <s v="Jacobus"/>
    <x v="55"/>
    <s v="H"/>
    <n v="1343"/>
    <s v="Octobre"/>
    <n v="26"/>
    <x v="7"/>
    <m/>
    <s v="Domibus teulenhas Dur' Albi"/>
    <s v="Carreria publica del Mastortet"/>
    <m/>
    <m/>
    <m/>
    <m/>
    <m/>
    <s v="Domum Teulenhas"/>
  </r>
  <r>
    <n v="1371"/>
    <s v="Jacobus"/>
    <x v="55"/>
    <s v="H"/>
    <n v="1343"/>
    <s v="Octobre"/>
    <n v="26"/>
    <x v="2"/>
    <m/>
    <s v="Situm in loco del Mastortet"/>
    <s v="Suis domibus palhenchas"/>
    <s v="Terra Bertrandi de Larbre"/>
    <m/>
    <m/>
    <m/>
    <m/>
    <m/>
  </r>
  <r>
    <n v="1371"/>
    <s v="Jacobus"/>
    <x v="55"/>
    <s v="H"/>
    <n v="1343"/>
    <s v="Octobre"/>
    <n v="26"/>
    <x v="8"/>
    <s v="Las Rialhas"/>
    <s v="Nemore de Salemniaco"/>
    <s v="Terra Girandi de Larbre"/>
    <m/>
    <m/>
    <m/>
    <m/>
    <m/>
    <m/>
  </r>
  <r>
    <n v="1371"/>
    <s v="Jacobus"/>
    <x v="55"/>
    <s v="H"/>
    <n v="1343"/>
    <s v="Octobre"/>
    <n v="26"/>
    <x v="8"/>
    <s v="De Las Pineas"/>
    <s v="Nemore Johannis de Arbore"/>
    <s v="Nemore Durandi Albi"/>
    <m/>
    <m/>
    <m/>
    <m/>
    <m/>
    <m/>
  </r>
  <r>
    <n v="1371"/>
    <s v="Jacobus"/>
    <x v="55"/>
    <s v="H"/>
    <n v="1343"/>
    <s v="Octobre"/>
    <n v="26"/>
    <x v="8"/>
    <s v="Lestraa"/>
    <m/>
    <s v="Petia Lhantayro"/>
    <s v="Terra Durandi Albi"/>
    <m/>
    <m/>
    <m/>
    <m/>
    <m/>
  </r>
  <r>
    <n v="1371"/>
    <s v="Jacobus"/>
    <x v="55"/>
    <s v="H"/>
    <n v="1343"/>
    <s v="Octobre"/>
    <n v="26"/>
    <x v="24"/>
    <s v="Prata Soteira"/>
    <m/>
    <s v="Pratis Durandi Albi"/>
    <s v="Pratis Durandi Albi"/>
    <s v="Petia Bertrandi de Arbore"/>
    <m/>
    <m/>
    <m/>
    <m/>
  </r>
  <r>
    <n v="1371"/>
    <s v="Jacobus"/>
    <x v="55"/>
    <s v="H"/>
    <n v="1343"/>
    <s v="Octobre"/>
    <n v="26"/>
    <x v="12"/>
    <s v="Los Prahals"/>
    <m/>
    <s v="Prato Staphani Lhanterii"/>
    <m/>
    <m/>
    <m/>
    <m/>
    <m/>
    <m/>
  </r>
  <r>
    <n v="1371"/>
    <s v="Jacobus"/>
    <x v="55"/>
    <s v="H"/>
    <n v="1343"/>
    <s v="Octobre"/>
    <n v="26"/>
    <x v="8"/>
    <s v="Las Nantas"/>
    <m/>
    <s v="Terra Durandi Albi"/>
    <s v="Sanha vocata Rotonda Durandi Albi quam tenet a domino Aniciensis episcopo"/>
    <m/>
    <m/>
    <m/>
    <m/>
    <m/>
  </r>
  <r>
    <n v="1371"/>
    <s v="Jacobus"/>
    <x v="55"/>
    <s v="H"/>
    <n v="1343"/>
    <s v="Octobre"/>
    <n v="26"/>
    <x v="8"/>
    <s v="Del Janebre"/>
    <m/>
    <s v="Petia Johannis de Arbore"/>
    <s v="Terra Bertrandi de Arbore"/>
    <s v="Terra del mont Saynt Marti"/>
    <m/>
    <m/>
    <m/>
    <m/>
  </r>
  <r>
    <n v="1371"/>
    <s v="Jacobus"/>
    <x v="55"/>
    <s v="H"/>
    <n v="1343"/>
    <s v="Octobre"/>
    <n v="26"/>
    <x v="8"/>
    <s v="Dens Clotz"/>
    <m/>
    <s v="Via qua itur de una versus Mendigolas (a duabus partibus)"/>
    <s v="Via qua itur Del Mastortet versus Lagarda"/>
    <m/>
    <m/>
    <m/>
    <m/>
    <m/>
  </r>
  <r>
    <n v="1371"/>
    <s v="Jacobus"/>
    <x v="55"/>
    <s v="H"/>
    <n v="1343"/>
    <s v="Octobre"/>
    <n v="26"/>
    <x v="3"/>
    <s v="Lagarda"/>
    <m/>
    <s v="Via qua itur Del Mastortet versus Lagarda"/>
    <s v="Petiis terre Durandi Albi"/>
    <m/>
    <m/>
    <m/>
    <m/>
    <m/>
  </r>
  <r>
    <n v="1371"/>
    <s v="Jacobus"/>
    <x v="55"/>
    <s v="H"/>
    <n v="1343"/>
    <s v="Octobre"/>
    <n v="26"/>
    <x v="8"/>
    <m/>
    <s v="Sitam in territorio Podii de duabus sorors"/>
    <s v="Terra domine de la Valeta"/>
    <s v="Terra Durandi Albi quam dixit a domino preceptore"/>
    <m/>
    <m/>
    <m/>
    <m/>
    <m/>
  </r>
  <r>
    <n v="1371"/>
    <s v="Jacobus"/>
    <x v="55"/>
    <s v="H"/>
    <n v="1343"/>
    <s v="Octobre"/>
    <n v="26"/>
    <x v="3"/>
    <m/>
    <s v="Sitam apud Las Peirozas"/>
    <s v="Ortis Martini de Arbore"/>
    <s v="Carreria qua itur del Mastortet versus Mendigolas"/>
    <m/>
    <m/>
    <m/>
    <m/>
    <m/>
  </r>
  <r>
    <n v="1371"/>
    <s v="Jacobus"/>
    <x v="55"/>
    <s v="H"/>
    <n v="1343"/>
    <s v="Octobre"/>
    <n v="26"/>
    <x v="3"/>
    <m/>
    <s v="Sitam apud Las Peirozas"/>
    <s v="Quadam petia Lo Lhantens"/>
    <m/>
    <m/>
    <m/>
    <m/>
    <m/>
    <m/>
  </r>
  <r>
    <n v="1822"/>
    <s v="Girandus"/>
    <x v="56"/>
    <s v="H"/>
    <n v="1343"/>
    <m/>
    <s v="Die Sabati in festo Beati Johannis Anthoni"/>
    <x v="0"/>
    <m/>
    <s v="Sitam in cruce del Chap"/>
    <s v="Petia de Las Chalais"/>
    <s v="Petiam Armandoni de Ruppe"/>
    <m/>
    <m/>
    <m/>
    <m/>
    <m/>
  </r>
  <r>
    <n v="1822"/>
    <s v="Girandus"/>
    <x v="56"/>
    <s v="H"/>
    <n v="1343"/>
    <m/>
    <s v="Die Sabati in festo Beati Johannis Anthoni"/>
    <x v="0"/>
    <m/>
    <s v="Sitam in territorio del Batalheira"/>
    <s v="Prato de Batalhera Guillermi Rocheta domicelli"/>
    <s v="Terra Petri La Mola D'Arnaudes"/>
    <m/>
    <m/>
    <m/>
    <m/>
    <m/>
  </r>
  <r>
    <n v="1823"/>
    <s v="Guillerma"/>
    <x v="56"/>
    <s v="H"/>
    <n v="1343"/>
    <m/>
    <s v="Die Sabati in festo Beati Johannis Anthoni"/>
    <x v="0"/>
    <m/>
    <s v="Sitam apud la Cros del Champ"/>
    <s v="Petia Girandi Fores de Montelheto"/>
    <s v="Petia de La Chalaras"/>
    <m/>
    <m/>
    <m/>
    <m/>
    <m/>
  </r>
  <r>
    <n v="1824"/>
    <s v="Johannes"/>
    <x v="56"/>
    <s v="H"/>
    <n v="1343"/>
    <m/>
    <s v="Die Sabati in festo Beati Johannis Anthoni"/>
    <x v="7"/>
    <m/>
    <s v="Sitam apud Cruce del Champ"/>
    <s v="Petia de Las Chalais"/>
    <s v="Petiam Guillone eius sororis"/>
    <s v="Petia Andree Fromenti"/>
    <m/>
    <m/>
    <m/>
    <m/>
  </r>
  <r>
    <n v="1172"/>
    <s v="Johannis"/>
    <x v="57"/>
    <s v="H"/>
    <n v="1343"/>
    <s v="Janvier"/>
    <n v="26"/>
    <x v="84"/>
    <m/>
    <m/>
    <s v="Prata Johannis de Feudo"/>
    <s v="Prato Mariete uxoris Vitalis Truffandi"/>
    <s v="Prato suo"/>
    <m/>
    <m/>
    <m/>
    <m/>
  </r>
  <r>
    <n v="1802"/>
    <s v="Peironetus"/>
    <x v="58"/>
    <s v="H"/>
    <n v="1343"/>
    <s v="Janvier"/>
    <n v="13"/>
    <x v="45"/>
    <s v="Podio Fayni Una"/>
    <m/>
    <s v="Nemore Johannis Sabati"/>
    <s v="Terra Johannis Sabati"/>
    <s v="Via qua itur de Ponte Hereons versus Tensanum"/>
    <s v="Via que monet a dicto itinere eundi versus terra Vitalis de Ponte Monendo de dicto itinere et vadit Faire versus ad iter publicum per quod itur de Sancto Agrippano versus Chambone"/>
    <s v="Terra et pratos Vitalis de Calma"/>
    <s v="Nemore de Chayneto"/>
    <s v="Exceptis illis que reperirentur esse de ecclesia Santi Agrippani reperirentur tenere a dicta ecclesia quod non credut"/>
  </r>
  <r>
    <n v="1802"/>
    <s v="Peironetus"/>
    <x v="58"/>
    <s v="H"/>
    <n v="1343"/>
    <s v="Janvier"/>
    <n v="13"/>
    <x v="24"/>
    <s v="Cumba Estura"/>
    <m/>
    <m/>
    <m/>
    <m/>
    <m/>
    <m/>
    <m/>
    <m/>
  </r>
  <r>
    <n v="801"/>
    <s v="Petrus et Matheus"/>
    <x v="59"/>
    <s v="H"/>
    <n v="1343"/>
    <s v="Juin"/>
    <n v="4"/>
    <x v="33"/>
    <m/>
    <s v="Situm in territorio de Mundo"/>
    <m/>
    <m/>
    <m/>
    <m/>
    <m/>
    <m/>
    <m/>
  </r>
  <r>
    <n v="801"/>
    <s v="Petrus et Matheus"/>
    <x v="59"/>
    <s v="H"/>
    <n v="1343"/>
    <s v="Juin"/>
    <n v="4"/>
    <x v="4"/>
    <m/>
    <m/>
    <s v="Nemore sue"/>
    <s v="Terra illorum de Mundo"/>
    <s v="Nemore illorum de Mundo"/>
    <s v="Prato liberorum Guillermi De Mundo condam"/>
    <s v="Terra mansi de Menfigolas"/>
    <m/>
    <m/>
  </r>
  <r>
    <n v="801"/>
    <s v="Petrus et Matheus"/>
    <x v="59"/>
    <s v="H"/>
    <n v="1343"/>
    <s v="Juin"/>
    <n v="4"/>
    <x v="15"/>
    <m/>
    <m/>
    <s v="Nemore sue"/>
    <s v="Terra illorum de Mundo"/>
    <s v="Nemore illorum de Mundo"/>
    <s v="Prato liberorum Guillermi De Mundo condam"/>
    <s v="Terra mansi de Menfigolas"/>
    <m/>
    <m/>
  </r>
  <r>
    <n v="491"/>
    <s v="Hugo"/>
    <x v="60"/>
    <s v="H"/>
    <n v="1343"/>
    <s v="Avril"/>
    <n v="9"/>
    <x v="7"/>
    <m/>
    <s v="Sitam apud Paulhac"/>
    <m/>
    <m/>
    <m/>
    <m/>
    <m/>
    <m/>
    <m/>
  </r>
  <r>
    <n v="491"/>
    <s v="Hugo"/>
    <x v="60"/>
    <s v="H"/>
    <n v="1343"/>
    <s v="Avril"/>
    <n v="9"/>
    <x v="6"/>
    <m/>
    <s v="Territorio De Paulhac"/>
    <s v="territorio de Masalibrant"/>
    <s v="Territorio de Bonofonte"/>
    <s v="Terra del Mont"/>
    <m/>
    <m/>
    <m/>
    <s v="Aquisit ab heredibus Johanis Valentini de Paulhac"/>
  </r>
  <r>
    <n v="491"/>
    <s v="Hugo"/>
    <x v="60"/>
    <s v="H"/>
    <n v="1343"/>
    <s v="Avril"/>
    <n v="9"/>
    <x v="15"/>
    <s v="de Chalninaal"/>
    <m/>
    <m/>
    <m/>
    <m/>
    <m/>
    <m/>
    <m/>
    <m/>
  </r>
  <r>
    <n v="501"/>
    <s v="Petrus"/>
    <x v="60"/>
    <s v="H"/>
    <n v="1343"/>
    <s v="Avril"/>
    <n v="9"/>
    <x v="1"/>
    <m/>
    <s v="Paulhac"/>
    <m/>
    <m/>
    <m/>
    <m/>
    <m/>
    <m/>
    <m/>
  </r>
  <r>
    <n v="501"/>
    <s v="Petrus"/>
    <x v="60"/>
    <s v="H"/>
    <n v="1343"/>
    <s v="Avril"/>
    <n v="9"/>
    <x v="3"/>
    <s v=" de Gatinho"/>
    <m/>
    <m/>
    <m/>
    <m/>
    <m/>
    <m/>
    <m/>
    <s v="Aquisivit a Johanne Valentini"/>
  </r>
  <r>
    <n v="501"/>
    <s v="Petrus"/>
    <x v="60"/>
    <s v="H"/>
    <n v="1343"/>
    <s v="Avril"/>
    <n v="9"/>
    <x v="4"/>
    <m/>
    <m/>
    <s v="Petia de Gatinho"/>
    <m/>
    <m/>
    <m/>
    <m/>
    <m/>
    <m/>
  </r>
  <r>
    <n v="891"/>
    <s v="Johannes"/>
    <x v="61"/>
    <s v="H"/>
    <n v="1443"/>
    <s v="Mai"/>
    <n v="16"/>
    <x v="1"/>
    <m/>
    <s v="Sitas apud Planchetas"/>
    <m/>
    <m/>
    <m/>
    <m/>
    <m/>
    <m/>
    <m/>
  </r>
  <r>
    <n v="891"/>
    <s v="Johannes"/>
    <x v="61"/>
    <s v="H"/>
    <n v="1443"/>
    <s v="Mai"/>
    <n v="16"/>
    <x v="80"/>
    <m/>
    <s v="Sitas apud Planchetas"/>
    <m/>
    <m/>
    <m/>
    <m/>
    <m/>
    <m/>
    <m/>
  </r>
  <r>
    <n v="891"/>
    <s v="Johannes"/>
    <x v="61"/>
    <s v="H"/>
    <n v="1443"/>
    <s v="Mai"/>
    <n v="16"/>
    <x v="45"/>
    <s v="Planchetis"/>
    <m/>
    <s v="Tenementum de Pereno"/>
    <s v="Loco de Peolhosas"/>
    <s v="Tenementum de Chabanas"/>
    <m/>
    <m/>
    <m/>
    <m/>
  </r>
  <r>
    <n v="891"/>
    <s v="Johannes"/>
    <x v="61"/>
    <s v="H"/>
    <n v="1443"/>
    <s v="Mai"/>
    <n v="16"/>
    <x v="15"/>
    <s v="De Lala de la Bossoa"/>
    <m/>
    <m/>
    <m/>
    <m/>
    <m/>
    <m/>
    <m/>
    <m/>
  </r>
  <r>
    <n v="891"/>
    <s v="Johannes"/>
    <x v="61"/>
    <s v="H"/>
    <n v="1443"/>
    <s v="Mai"/>
    <n v="16"/>
    <x v="85"/>
    <m/>
    <m/>
    <s v="Terra de Bertos"/>
    <m/>
    <m/>
    <m/>
    <m/>
    <m/>
    <m/>
  </r>
  <r>
    <n v="891"/>
    <s v="Johannes"/>
    <x v="61"/>
    <s v="H"/>
    <n v="1443"/>
    <s v="Mai"/>
    <n v="16"/>
    <x v="15"/>
    <m/>
    <m/>
    <s v="Terra de Bertos"/>
    <m/>
    <m/>
    <m/>
    <m/>
    <m/>
    <m/>
  </r>
  <r>
    <n v="891"/>
    <s v="Johannes"/>
    <x v="61"/>
    <s v="H"/>
    <n v="1443"/>
    <s v="Mai"/>
    <n v="16"/>
    <x v="24"/>
    <s v="Beotmeschas"/>
    <m/>
    <m/>
    <m/>
    <m/>
    <m/>
    <m/>
    <m/>
    <m/>
  </r>
  <r>
    <n v="891"/>
    <s v="Johannes"/>
    <x v="61"/>
    <s v="H"/>
    <n v="1443"/>
    <s v="Mai"/>
    <n v="16"/>
    <x v="15"/>
    <s v="Beotmeschas"/>
    <m/>
    <m/>
    <m/>
    <m/>
    <m/>
    <m/>
    <m/>
    <m/>
  </r>
  <r>
    <n v="311"/>
    <s v="Jacobus"/>
    <x v="62"/>
    <s v="H"/>
    <n v="1343"/>
    <s v="Avril"/>
    <n v="5"/>
    <x v="86"/>
    <s v="Dens Pontetz"/>
    <m/>
    <s v="Teritorio de Laschalins"/>
    <s v="Terra quorone dicte domus Devesseti"/>
    <s v="Terra comitatis vocatis de Maysonetis"/>
    <m/>
    <m/>
    <m/>
    <m/>
  </r>
  <r>
    <n v="311"/>
    <s v="Jacobus"/>
    <x v="62"/>
    <s v="H"/>
    <n v="1343"/>
    <s v="Avril"/>
    <n v="5"/>
    <x v="33"/>
    <s v="De Coray"/>
    <m/>
    <s v="Nemore Fansonis de Chalmetis"/>
    <s v="Rialha vocate de Lacrestrana"/>
    <m/>
    <m/>
    <m/>
    <m/>
    <m/>
  </r>
  <r>
    <n v="311"/>
    <s v="Jacobus"/>
    <x v="62"/>
    <s v="H"/>
    <n v="1343"/>
    <s v="Avril"/>
    <n v="5"/>
    <x v="24"/>
    <m/>
    <m/>
    <m/>
    <m/>
    <m/>
    <m/>
    <m/>
    <m/>
    <s v="Olim fuit Gregorii de La Boscha"/>
  </r>
  <r>
    <n v="311"/>
    <s v="Jacobus"/>
    <x v="62"/>
    <s v="H"/>
    <n v="1343"/>
    <s v="Avril"/>
    <n v="5"/>
    <x v="19"/>
    <s v="Del Baylh"/>
    <s v="In loco comitatis ad censum pertinentiis domui seu castrii Devesseti"/>
    <m/>
    <m/>
    <m/>
    <m/>
    <m/>
    <m/>
    <m/>
  </r>
  <r>
    <n v="321"/>
    <s v="Guigona"/>
    <x v="62"/>
    <s v="F"/>
    <n v="1343"/>
    <s v="Avril"/>
    <n v="5"/>
    <x v="87"/>
    <s v="Dens Potetz"/>
    <m/>
    <m/>
    <m/>
    <m/>
    <m/>
    <m/>
    <m/>
    <m/>
  </r>
  <r>
    <n v="321"/>
    <s v="Guigona"/>
    <x v="62"/>
    <s v="F"/>
    <n v="1343"/>
    <s v="Avril"/>
    <n v="5"/>
    <x v="88"/>
    <s v="Dens Potetz"/>
    <m/>
    <m/>
    <m/>
    <m/>
    <m/>
    <m/>
    <m/>
    <m/>
  </r>
  <r>
    <n v="321"/>
    <s v="Guigona"/>
    <x v="62"/>
    <s v="F"/>
    <n v="1343"/>
    <s v="Avril"/>
    <n v="5"/>
    <x v="33"/>
    <s v="de Coray"/>
    <m/>
    <s v="Nemore de Fansons de Chalmetis"/>
    <s v="Los Bimatz de Chalmetis"/>
    <m/>
    <m/>
    <m/>
    <m/>
    <m/>
  </r>
  <r>
    <n v="321"/>
    <s v="Guigona"/>
    <x v="62"/>
    <s v="F"/>
    <n v="1343"/>
    <s v="Avril"/>
    <n v="5"/>
    <x v="24"/>
    <m/>
    <m/>
    <m/>
    <m/>
    <m/>
    <m/>
    <m/>
    <m/>
    <s v="Olim fuit Gregorii de la Boscha"/>
  </r>
  <r>
    <n v="321"/>
    <s v="Guigona"/>
    <x v="62"/>
    <s v="F"/>
    <n v="1343"/>
    <s v="Avril"/>
    <n v="5"/>
    <x v="30"/>
    <s v=" del Bayl"/>
    <s v="In territorio de Maysonetis"/>
    <m/>
    <m/>
    <m/>
    <m/>
    <m/>
    <m/>
    <s v="Cum illis de Bello Prandio et dicte domus"/>
  </r>
  <r>
    <n v="371"/>
    <s v="Petrus"/>
    <x v="63"/>
    <s v="H"/>
    <n v="1360"/>
    <s v="Août"/>
    <m/>
    <x v="2"/>
    <m/>
    <s v="Situm apud Las Posagras"/>
    <s v="Terra quartina dicte domus (Devesseti) quadam charali media"/>
    <s v="Terra grangie dernola fratris Jacobi quadam passata media"/>
    <s v="A parte inferiore cum terra quartina dicte domus"/>
    <s v="Prato dicti Petri"/>
    <m/>
    <m/>
    <m/>
  </r>
  <r>
    <n v="371"/>
    <s v="Petrus"/>
    <x v="63"/>
    <s v="H"/>
    <n v="1360"/>
    <s v="Août"/>
    <m/>
    <x v="89"/>
    <m/>
    <s v="Situm apud Las Posagras"/>
    <s v="Terra quartina dicte domus (Devesseti) quadam charali media"/>
    <s v="Terra grangie dernola fratris Jacobi quadam passata media"/>
    <s v="A parte inferiore cum terra quartina dicte domus"/>
    <s v="Prato dicti Petri"/>
    <m/>
    <m/>
    <m/>
  </r>
  <r>
    <n v="1911"/>
    <s v="Petrus"/>
    <x v="64"/>
    <s v="H"/>
    <n v="1406"/>
    <s v="Août"/>
    <n v="11"/>
    <x v="7"/>
    <s v="Viaynam Palhentham"/>
    <m/>
    <s v="Domo Bartholomei Columbi quodam itinere intermedio quo itur de Raschassaco apud Sanctum Agrippanum (A parte superiori)"/>
    <s v="Ortis Honchus et orta dicti Petri"/>
    <m/>
    <m/>
    <m/>
    <m/>
    <m/>
  </r>
  <r>
    <n v="1911"/>
    <s v="Petrus"/>
    <x v="64"/>
    <s v="H"/>
    <n v="1406"/>
    <s v="Août"/>
    <n v="11"/>
    <x v="90"/>
    <m/>
    <m/>
    <s v="Orto et patili dicti Petri"/>
    <m/>
    <m/>
    <m/>
    <m/>
    <m/>
    <m/>
  </r>
  <r>
    <n v="1911"/>
    <s v="Petrus"/>
    <x v="64"/>
    <s v="H"/>
    <n v="1406"/>
    <s v="Août"/>
    <n v="11"/>
    <x v="7"/>
    <s v="Dens Blachos"/>
    <m/>
    <s v="Domus suus"/>
    <s v="Orto suo"/>
    <s v="Patili dicti loci"/>
    <m/>
    <m/>
    <m/>
    <s v="Pernam palentha"/>
  </r>
  <r>
    <n v="1911"/>
    <s v="Petrus"/>
    <x v="64"/>
    <s v="H"/>
    <n v="1406"/>
    <s v="Août"/>
    <n v="11"/>
    <x v="73"/>
    <m/>
    <m/>
    <s v="Patilibus loci de Raschassaco"/>
    <m/>
    <m/>
    <m/>
    <m/>
    <m/>
    <s v="Que sint Peyruchonis Gamelli + circumcirca"/>
  </r>
  <r>
    <n v="1911"/>
    <s v="Petrus"/>
    <x v="64"/>
    <s v="H"/>
    <n v="1406"/>
    <s v="Août"/>
    <n v="11"/>
    <x v="29"/>
    <m/>
    <s v="Sitos in loco de Rascassaco"/>
    <s v="Tronssatz (A parte ventus)"/>
    <m/>
    <m/>
    <m/>
    <m/>
    <m/>
    <m/>
  </r>
  <r>
    <n v="1911"/>
    <s v="Petrus"/>
    <x v="64"/>
    <s v="H"/>
    <n v="1406"/>
    <s v="Août"/>
    <n v="11"/>
    <x v="79"/>
    <m/>
    <s v="Situm retro domum suam magnam a parte castri Sancti Agrippani"/>
    <m/>
    <m/>
    <m/>
    <m/>
    <m/>
    <m/>
    <m/>
  </r>
  <r>
    <n v="1911"/>
    <s v="Petrus"/>
    <x v="64"/>
    <s v="H"/>
    <n v="1406"/>
    <s v="Août"/>
    <n v="11"/>
    <x v="91"/>
    <s v="Lo Piahecho"/>
    <m/>
    <s v="Honchus suis"/>
    <s v="Itinere quo itur de Sancto Romano versus Bastid"/>
    <s v="Domo suo"/>
    <s v="Terra Bartholomei Columbi"/>
    <m/>
    <m/>
    <m/>
  </r>
  <r>
    <n v="1911"/>
    <s v="Petrus"/>
    <x v="64"/>
    <s v="H"/>
    <n v="1406"/>
    <s v="Août"/>
    <n v="11"/>
    <x v="40"/>
    <s v="Pra Beino"/>
    <m/>
    <s v="Itonere quo itur de Raschassaco usque Sanctum Agrippanum"/>
    <s v="Itinere quo itur de Sancto Agrippano usque Sanctim Itorum"/>
    <s v="Prato Berno"/>
    <s v="Prato de Betant"/>
    <s v="Terris et pratis Barthi Columbi"/>
    <m/>
    <m/>
  </r>
  <r>
    <n v="1911"/>
    <s v="Petrus"/>
    <x v="64"/>
    <s v="H"/>
    <n v="1406"/>
    <s v="Août"/>
    <n v="11"/>
    <x v="40"/>
    <s v="Fonte Frigido"/>
    <m/>
    <s v="Pasturale de Freysseneto appelato de Lame"/>
    <s v="Terra Petri De Frigido perietibus"/>
    <s v="Terra Bartholomei Columbo"/>
    <m/>
    <m/>
    <m/>
    <m/>
  </r>
  <r>
    <n v="1911"/>
    <s v="Petrus"/>
    <x v="64"/>
    <s v="H"/>
    <n v="1406"/>
    <s v="Août"/>
    <n v="11"/>
    <x v="40"/>
    <m/>
    <s v="Situm in Bello Campe"/>
    <s v="Itinere quo itur de Sancto Agrippano versus Sanctum Itorum"/>
    <s v="Terra Bartholomei Columbi"/>
    <s v="Terra De Freysseneto"/>
    <s v="Calma Petri de Frigidis Peretibus"/>
    <m/>
    <m/>
    <m/>
  </r>
  <r>
    <n v="1911"/>
    <s v="Petrus"/>
    <x v="64"/>
    <s v="H"/>
    <n v="1406"/>
    <s v="Août"/>
    <n v="11"/>
    <x v="40"/>
    <m/>
    <s v="Situm in loco de Bello Campo"/>
    <s v="Itinere quo itur de Sancto Agrippano versus Sanctum Itorum"/>
    <s v="Terra Petri de Lhemeto"/>
    <s v="Terra de Frigidis Perietibus (a parte Fontis Frigidis)"/>
    <m/>
    <m/>
    <m/>
    <m/>
  </r>
  <r>
    <n v="1911"/>
    <s v="Petrus"/>
    <x v="64"/>
    <s v="H"/>
    <n v="1406"/>
    <s v="Août"/>
    <n v="11"/>
    <x v="22"/>
    <s v="Las Yssartaas"/>
    <m/>
    <s v="Itinere quo itur de Sancto Agrippano versus Sanctum Itorum"/>
    <s v="Petia terre de Freysseneto"/>
    <s v="Terra Dons Tronssatz"/>
    <s v="Passata perni valons"/>
    <s v="Terra appelata Dons Fongonis qui c' dons Tronssatz"/>
    <s v="Terra Bartholomei Columbi"/>
    <m/>
  </r>
  <r>
    <n v="1911"/>
    <s v="Petrus"/>
    <x v="64"/>
    <s v="H"/>
    <n v="1406"/>
    <s v="Août"/>
    <n v="11"/>
    <x v="3"/>
    <s v="Dons Cayrens Cronssatz"/>
    <s v="Sitas in territorio Dons Cayrens"/>
    <s v="Terra appellata del Petit Valons"/>
    <m/>
    <m/>
    <m/>
    <m/>
    <m/>
    <m/>
  </r>
  <r>
    <n v="1911"/>
    <s v="Petrus"/>
    <x v="64"/>
    <s v="H"/>
    <n v="1406"/>
    <s v="Août"/>
    <n v="11"/>
    <x v="3"/>
    <s v="De la Rocha"/>
    <m/>
    <s v="Terra Bartholomei Columbi"/>
    <s v="Calma toni"/>
    <m/>
    <m/>
    <m/>
    <m/>
    <m/>
  </r>
  <r>
    <n v="1911"/>
    <s v="Petrus"/>
    <x v="64"/>
    <s v="H"/>
    <n v="1406"/>
    <s v="Août"/>
    <n v="11"/>
    <x v="3"/>
    <s v="Del Tront"/>
    <m/>
    <s v="Calma appelata Chalni Forana"/>
    <s v="Serrena nemorum commumum appelatorum de Costa Mayoni "/>
    <s v="Charrina qua itur de loco de Raschassaco versus Costa Matoni"/>
    <s v="Terra De Freysseneto"/>
    <m/>
    <m/>
    <m/>
  </r>
  <r>
    <n v="1911"/>
    <s v="Petrus"/>
    <x v="64"/>
    <s v="H"/>
    <n v="1406"/>
    <s v="Août"/>
    <n v="11"/>
    <x v="23"/>
    <m/>
    <s v="Sita in nemoribis de Costa Mayoni"/>
    <m/>
    <m/>
    <m/>
    <m/>
    <m/>
    <m/>
    <m/>
  </r>
  <r>
    <n v="1911"/>
    <s v="Petrus"/>
    <x v="64"/>
    <s v="H"/>
    <n v="1406"/>
    <s v="Août"/>
    <n v="11"/>
    <x v="0"/>
    <s v="Dens Forigiere"/>
    <s v="Situs in costa Mayoni"/>
    <s v="Terra Dens Tronssatz"/>
    <s v="Nemoribus de Costa Mayoni"/>
    <s v="Nemore Agrippani Ariberi"/>
    <m/>
    <m/>
    <m/>
    <m/>
  </r>
  <r>
    <n v="1911"/>
    <s v="Petrus"/>
    <x v="64"/>
    <s v="H"/>
    <n v="1406"/>
    <s v="Août"/>
    <n v="11"/>
    <x v="23"/>
    <s v="Dens Forigiere"/>
    <s v="Situs in costa Mayoni"/>
    <s v="Terra Dens Tronssatz"/>
    <s v="Nemoribus de Costa Mayoni"/>
    <s v="Nemore Agrippani Ariberi"/>
    <m/>
    <m/>
    <m/>
    <m/>
  </r>
  <r>
    <n v="1911"/>
    <s v="Petrus"/>
    <x v="64"/>
    <s v="H"/>
    <n v="1406"/>
    <s v="Août"/>
    <n v="11"/>
    <x v="67"/>
    <s v="Dons Faysatz"/>
    <m/>
    <s v="Petia terre Bartholomei Columbi"/>
    <s v="Itinere quo itur de Raschassaco apud Greysart"/>
    <s v="Terra domus Tronssatz appellata de la Mayr"/>
    <m/>
    <m/>
    <m/>
    <m/>
  </r>
  <r>
    <n v="1911"/>
    <s v="Petrus"/>
    <x v="64"/>
    <s v="H"/>
    <n v="1406"/>
    <s v="Août"/>
    <n v="11"/>
    <x v="8"/>
    <m/>
    <s v="Situm apud Revum del Moli"/>
    <s v="Terra Vialoni de capella"/>
    <s v="Terra Dens Cronssatz"/>
    <s v="Terra Bartholomei Columbi"/>
    <m/>
    <m/>
    <m/>
    <m/>
  </r>
  <r>
    <n v="1911"/>
    <s v="Petrus"/>
    <x v="64"/>
    <s v="H"/>
    <n v="1406"/>
    <s v="Août"/>
    <n v="11"/>
    <x v="15"/>
    <m/>
    <s v="Situm apud Revum del Moli"/>
    <s v="Terra Vialoni de capella"/>
    <s v="Terra Dens Cronssatz"/>
    <s v="Terra Bartholomei Columbi"/>
    <m/>
    <m/>
    <m/>
    <m/>
  </r>
  <r>
    <n v="1911"/>
    <s v="Petrus"/>
    <x v="64"/>
    <s v="H"/>
    <n v="1406"/>
    <s v="Août"/>
    <n v="11"/>
    <x v="15"/>
    <s v="Dol Eme"/>
    <m/>
    <s v="Petia appellata de Bramassam qui c' Bartholomei Columbi"/>
    <s v="Pratum Recog' appellatis Danat'"/>
    <m/>
    <m/>
    <m/>
    <m/>
    <m/>
  </r>
  <r>
    <n v="1911"/>
    <s v="Petrus"/>
    <x v="64"/>
    <s v="H"/>
    <n v="1406"/>
    <s v="Août"/>
    <n v="11"/>
    <x v="3"/>
    <s v="De Puteo"/>
    <m/>
    <s v="Terra Nobili Raynaudi de Assalma"/>
    <s v="Prato Dons Cronssatz appellato Dons Pantiers"/>
    <s v="Petiam terre Dons Conssatz appellata del Prahal"/>
    <m/>
    <m/>
    <m/>
    <s v="Aquisita Dens Ariberius"/>
  </r>
  <r>
    <n v="1911"/>
    <s v="Petrus"/>
    <x v="64"/>
    <s v="H"/>
    <n v="1406"/>
    <s v="Août"/>
    <n v="11"/>
    <x v="22"/>
    <s v="De la Chirola"/>
    <m/>
    <s v="Itinere publico quo itur de Sancto Agrippano ad Bastid"/>
    <s v="Itinere quo itur de Raschassaco versus Lestlanda"/>
    <s v="Coderto de le Silansa"/>
    <s v="Terra Dons Cronssatz"/>
    <m/>
    <m/>
    <m/>
  </r>
  <r>
    <n v="1911"/>
    <s v="Petrus"/>
    <x v="64"/>
    <s v="H"/>
    <n v="1406"/>
    <s v="Août"/>
    <n v="11"/>
    <x v="3"/>
    <s v="De la Ching"/>
    <m/>
    <s v="Petia terre Dons Crossatz appellata Dons Fornatz"/>
    <m/>
    <m/>
    <m/>
    <m/>
    <m/>
    <m/>
  </r>
  <r>
    <n v="1911"/>
    <s v="Petrus"/>
    <x v="64"/>
    <s v="H"/>
    <n v="1406"/>
    <s v="Août"/>
    <n v="11"/>
    <x v="92"/>
    <m/>
    <m/>
    <m/>
    <m/>
    <m/>
    <m/>
    <m/>
    <m/>
    <m/>
  </r>
  <r>
    <n v="1911"/>
    <s v="Petrus"/>
    <x v="64"/>
    <s v="H"/>
    <n v="1406"/>
    <s v="Août"/>
    <n v="11"/>
    <x v="4"/>
    <s v="Pra Berno"/>
    <m/>
    <s v="Hereditate de Mundo"/>
    <s v="Hominum de Chalmetis"/>
    <s v="Pratis Petri de Hermeto quod prate intermerio"/>
    <s v="Prato et terra Bartholomei Columbi"/>
    <s v="Garayto dicti Petri"/>
    <m/>
    <m/>
  </r>
  <r>
    <n v="1911"/>
    <s v="Petrus"/>
    <x v="64"/>
    <s v="H"/>
    <n v="1406"/>
    <s v="Août"/>
    <n v="11"/>
    <x v="15"/>
    <m/>
    <m/>
    <s v="Pratum suum"/>
    <m/>
    <m/>
    <m/>
    <m/>
    <m/>
    <m/>
  </r>
  <r>
    <n v="1911"/>
    <s v="Petrus"/>
    <x v="64"/>
    <s v="H"/>
    <n v="1406"/>
    <s v="Août"/>
    <n v="11"/>
    <x v="4"/>
    <s v="Appellata de Bertrant"/>
    <m/>
    <s v="Prati et terri Bartholomei Colma"/>
    <s v="Pasturale Bartholomei Colma"/>
    <s v="Passata qua itur de Raschassaco apud pasturalia de Bertant"/>
    <s v="Prato de Lyssaitaa Bartholomei"/>
    <m/>
    <m/>
    <m/>
  </r>
  <r>
    <n v="1911"/>
    <s v="Petrus"/>
    <x v="64"/>
    <s v="H"/>
    <n v="1406"/>
    <s v="Août"/>
    <n v="11"/>
    <x v="15"/>
    <s v="Appellata de Bertrant"/>
    <m/>
    <s v="Prati et terri Bartholomei Colma"/>
    <s v="Pasturale Bartholomei Colma"/>
    <s v="Passata qua itur de Raschassaco apud pasturalia de Bertant"/>
    <s v="Prato de Lyssaitaa Bartholomei"/>
    <m/>
    <m/>
    <m/>
  </r>
  <r>
    <n v="1911"/>
    <s v="Petrus"/>
    <x v="64"/>
    <s v="H"/>
    <n v="1406"/>
    <s v="Août"/>
    <n v="11"/>
    <x v="4"/>
    <s v="De Las Yssertaas"/>
    <m/>
    <s v="Prata"/>
    <m/>
    <m/>
    <m/>
    <m/>
    <m/>
    <m/>
  </r>
  <r>
    <n v="1911"/>
    <s v="Petrus"/>
    <x v="64"/>
    <s v="H"/>
    <n v="1406"/>
    <s v="Août"/>
    <n v="11"/>
    <x v="15"/>
    <s v="De Las Yssertaas"/>
    <m/>
    <s v="Prata"/>
    <m/>
    <m/>
    <m/>
    <m/>
    <m/>
    <m/>
  </r>
  <r>
    <n v="1921"/>
    <s v="Guillermus"/>
    <x v="64"/>
    <s v="H"/>
    <n v="1406"/>
    <s v="Août"/>
    <n v="23"/>
    <x v="7"/>
    <s v="Casale Sil"/>
    <m/>
    <s v="Carrera et patili de Raschassaco"/>
    <s v="Domo et casale Petri Blachi"/>
    <m/>
    <m/>
    <m/>
    <m/>
    <m/>
  </r>
  <r>
    <n v="1921"/>
    <s v="Guillermus"/>
    <x v="64"/>
    <s v="H"/>
    <n v="1406"/>
    <s v="Août"/>
    <n v="23"/>
    <x v="2"/>
    <s v="Casale Sil"/>
    <m/>
    <s v="Carrera et patili de Raschassaco"/>
    <m/>
    <m/>
    <m/>
    <m/>
    <m/>
    <m/>
  </r>
  <r>
    <n v="1921"/>
    <s v="Guillermus"/>
    <x v="64"/>
    <s v="H"/>
    <n v="1406"/>
    <s v="Août"/>
    <n v="23"/>
    <x v="7"/>
    <s v="La Granga"/>
    <m/>
    <s v="Houchia Bartholomei Coherbi"/>
    <m/>
    <m/>
    <m/>
    <m/>
    <m/>
    <m/>
  </r>
  <r>
    <n v="1921"/>
    <s v="Guillermus"/>
    <x v="64"/>
    <s v="H"/>
    <n v="1406"/>
    <s v="Août"/>
    <n v="23"/>
    <x v="2"/>
    <m/>
    <m/>
    <s v="Grangie sue"/>
    <s v="Itinere quo itur de Sancto Agrippano ad Bastidam"/>
    <s v="Houchia Bartholomei Columbi"/>
    <m/>
    <m/>
    <m/>
    <m/>
  </r>
  <r>
    <n v="1921"/>
    <s v="Guillermus"/>
    <x v="64"/>
    <s v="H"/>
    <n v="1406"/>
    <s v="Août"/>
    <n v="23"/>
    <x v="68"/>
    <m/>
    <m/>
    <s v="Grangie sue"/>
    <s v="Itinere quo itur de Sancto Agrippano ad Bastidam"/>
    <s v="Houchia Bartholomei Columbi"/>
    <m/>
    <m/>
    <m/>
    <m/>
  </r>
  <r>
    <n v="1921"/>
    <s v="Guillermus"/>
    <x v="64"/>
    <s v="H"/>
    <n v="1406"/>
    <s v="Août"/>
    <n v="23"/>
    <x v="68"/>
    <s v="Dol Fornatz"/>
    <m/>
    <s v="Houchia Bartholomei Coherbi"/>
    <s v="Petia Petri Blachonis appellata de la Crirosa"/>
    <m/>
    <m/>
    <m/>
    <m/>
    <m/>
  </r>
  <r>
    <n v="1921"/>
    <s v="Guillermus"/>
    <x v="64"/>
    <s v="H"/>
    <n v="1406"/>
    <s v="Août"/>
    <n v="23"/>
    <x v="2"/>
    <m/>
    <s v="Sita subtus Domum Dons Gamens"/>
    <s v="Orto Petri Blachonis"/>
    <s v="Carreria de la Font"/>
    <m/>
    <m/>
    <m/>
    <m/>
    <m/>
  </r>
  <r>
    <n v="1921"/>
    <s v="Guillermus"/>
    <x v="64"/>
    <s v="H"/>
    <n v="1406"/>
    <s v="Août"/>
    <n v="23"/>
    <x v="68"/>
    <s v="Dol Prahas"/>
    <m/>
    <s v="Petia dol Pos Petri Blachoni"/>
    <s v="Prato quod erat Dons Gammens quod est nunc Petri Blachonis"/>
    <m/>
    <m/>
    <m/>
    <m/>
    <m/>
  </r>
  <r>
    <n v="1921"/>
    <s v="Guillermus"/>
    <x v="64"/>
    <s v="H"/>
    <n v="1406"/>
    <s v="Août"/>
    <n v="23"/>
    <x v="3"/>
    <s v="Dons Plantiert"/>
    <m/>
    <s v="Petia terre Petri Blachoni"/>
    <s v="Petiam terre Dons Gammens qui est Petri Blachoni"/>
    <s v="Itinere quo itur de Sancto Agrippano ad Bastidam"/>
    <m/>
    <m/>
    <m/>
    <m/>
  </r>
  <r>
    <n v="1921"/>
    <s v="Guillermus"/>
    <x v="64"/>
    <s v="H"/>
    <n v="1406"/>
    <s v="Août"/>
    <n v="23"/>
    <x v="3"/>
    <s v="Dons Cayreons"/>
    <m/>
    <s v="Petia terre Bartholomei Columbi"/>
    <s v="Terra et prato Jacobi Blachoni qui fuerant Dons Ariberut"/>
    <m/>
    <m/>
    <m/>
    <m/>
    <m/>
  </r>
  <r>
    <n v="1921"/>
    <s v="Guillermus"/>
    <x v="64"/>
    <s v="H"/>
    <n v="1406"/>
    <s v="Août"/>
    <n v="23"/>
    <x v="3"/>
    <s v="De la Mayt"/>
    <m/>
    <s v="Petia terre Petri Blachoni"/>
    <s v="Rivo de Gieysart"/>
    <s v="Nemore et terra Petri Blachoni"/>
    <m/>
    <m/>
    <m/>
    <m/>
  </r>
  <r>
    <n v="1921"/>
    <s v="Guillermus"/>
    <x v="64"/>
    <s v="H"/>
    <n v="1406"/>
    <s v="Août"/>
    <n v="23"/>
    <x v="33"/>
    <m/>
    <s v="Situm oltres de la Fonteta"/>
    <s v="Nemore Agrippani Aribui"/>
    <s v="Nemore Bartholomei Columbi"/>
    <m/>
    <m/>
    <m/>
    <m/>
    <m/>
  </r>
  <r>
    <n v="1921"/>
    <s v="Guillermus"/>
    <x v="64"/>
    <s v="H"/>
    <n v="1406"/>
    <s v="Août"/>
    <n v="23"/>
    <x v="4"/>
    <s v="Denatus"/>
    <m/>
    <s v="Itinere quo itur de Sancto Agrippano apud Bastidam"/>
    <s v="Pratis Petri Bmachonis"/>
    <m/>
    <m/>
    <m/>
    <m/>
    <m/>
  </r>
  <r>
    <n v="1921"/>
    <s v="Guillermus"/>
    <x v="64"/>
    <s v="H"/>
    <n v="1406"/>
    <s v="Août"/>
    <n v="23"/>
    <x v="4"/>
    <s v="Del Prachal"/>
    <m/>
    <s v="Prato de Puteo Petri Blachoni"/>
    <m/>
    <m/>
    <m/>
    <m/>
    <m/>
    <m/>
  </r>
  <r>
    <n v="1921"/>
    <s v="Guillermus"/>
    <x v="64"/>
    <s v="H"/>
    <n v="1406"/>
    <s v="Août"/>
    <n v="23"/>
    <x v="4"/>
    <s v="Dons Plantiers"/>
    <m/>
    <s v="Petia Petri Blachonis appellata de Puteo"/>
    <m/>
    <m/>
    <m/>
    <m/>
    <m/>
    <m/>
  </r>
  <r>
    <n v="1921"/>
    <s v="Guillermus"/>
    <x v="64"/>
    <s v="H"/>
    <n v="1406"/>
    <s v="Août"/>
    <n v="23"/>
    <x v="4"/>
    <s v="De Puteo"/>
    <m/>
    <s v="Pasturali Vialoni de Capella"/>
    <s v="Costa Petri Blachoni"/>
    <m/>
    <m/>
    <m/>
    <m/>
    <m/>
  </r>
  <r>
    <n v="1921"/>
    <s v="Guillermus"/>
    <x v="64"/>
    <s v="H"/>
    <n v="1406"/>
    <s v="Août"/>
    <n v="23"/>
    <x v="15"/>
    <s v="De Puteo"/>
    <m/>
    <s v="Pasturali Vialoni de Capella"/>
    <s v="Costa Petri Blachoni"/>
    <m/>
    <m/>
    <m/>
    <m/>
    <m/>
  </r>
  <r>
    <n v="1921"/>
    <s v="Guillermus"/>
    <x v="64"/>
    <s v="H"/>
    <n v="1406"/>
    <s v="Août"/>
    <n v="23"/>
    <x v="15"/>
    <s v="Del Berne"/>
    <m/>
    <s v="Pasturalibus Petri Blachoni Columbi"/>
    <s v="Pasturalibus Petri Blachoni Columbi"/>
    <s v="Prato del Moli Petri Blachoni"/>
    <m/>
    <m/>
    <m/>
    <m/>
  </r>
  <r>
    <n v="1921"/>
    <s v="Guillermus"/>
    <x v="64"/>
    <s v="H"/>
    <n v="1406"/>
    <s v="Août"/>
    <n v="23"/>
    <x v="4"/>
    <s v="Dol Gaaryo"/>
    <m/>
    <s v="Petia De Bralaffani de Raschassaco"/>
    <s v="Prato Petri Blachoni (a parte superiori)"/>
    <m/>
    <m/>
    <m/>
    <m/>
    <m/>
  </r>
  <r>
    <n v="1921"/>
    <s v="Guillermus"/>
    <x v="64"/>
    <s v="H"/>
    <n v="1406"/>
    <s v="Août"/>
    <n v="23"/>
    <x v="4"/>
    <s v="De la Costa Del Moli"/>
    <m/>
    <s v="Esclausa de Raschassaco"/>
    <s v="Pasturali de Lesclanso Bartholomei Columbi"/>
    <m/>
    <m/>
    <m/>
    <m/>
    <m/>
  </r>
  <r>
    <n v="1921"/>
    <s v="Guillermus"/>
    <x v="64"/>
    <s v="H"/>
    <n v="1406"/>
    <s v="Août"/>
    <n v="23"/>
    <x v="8"/>
    <s v="De la Costa Del Moli"/>
    <m/>
    <s v="Esclausa de Raschassaco"/>
    <s v="Pasturali de Lesclanso Bartholomei Columbi"/>
    <m/>
    <m/>
    <m/>
    <m/>
    <m/>
  </r>
  <r>
    <n v="1921"/>
    <s v="Guillermus"/>
    <x v="64"/>
    <s v="H"/>
    <n v="1406"/>
    <s v="Août"/>
    <n v="23"/>
    <x v="15"/>
    <s v="De Calma Forana"/>
    <m/>
    <s v="Pasturale de Ruppe Petri Blachoni"/>
    <m/>
    <m/>
    <m/>
    <m/>
    <m/>
    <m/>
  </r>
  <r>
    <n v="1921"/>
    <s v="Guillermus"/>
    <x v="64"/>
    <s v="H"/>
    <n v="1406"/>
    <s v="Août"/>
    <n v="23"/>
    <x v="4"/>
    <s v="De la Chirosa"/>
    <m/>
    <s v="Prato Petri Blachoni"/>
    <s v="Coderto communi de Raschassaco"/>
    <m/>
    <m/>
    <m/>
    <m/>
    <m/>
  </r>
  <r>
    <n v="1921"/>
    <s v="Guillermus"/>
    <x v="64"/>
    <s v="H"/>
    <n v="1406"/>
    <s v="Août"/>
    <n v="23"/>
    <x v="4"/>
    <s v="De Retro"/>
    <m/>
    <s v="Prato de Longalassa Petri Blachoni"/>
    <s v="Faysssia Petri Blachonis"/>
    <m/>
    <m/>
    <m/>
    <m/>
    <m/>
  </r>
  <r>
    <n v="1921"/>
    <s v="Guillermus"/>
    <x v="64"/>
    <s v="H"/>
    <n v="1406"/>
    <s v="Août"/>
    <n v="23"/>
    <x v="4"/>
    <s v="De Las Yssertaas"/>
    <m/>
    <s v="Pratis Bartholomeis Cumbi"/>
    <s v="Pratis Bartholomeis Columbi"/>
    <m/>
    <m/>
    <m/>
    <m/>
    <m/>
  </r>
  <r>
    <n v="1921"/>
    <s v="Guillermus"/>
    <x v="64"/>
    <s v="H"/>
    <n v="1406"/>
    <s v="Août"/>
    <n v="23"/>
    <x v="15"/>
    <s v="Dens Fongonrs"/>
    <m/>
    <s v="Pasturale Petri Blachoni (a parte superiori)"/>
    <s v="Calma Bartholomei Columbi"/>
    <m/>
    <m/>
    <m/>
    <m/>
    <m/>
  </r>
  <r>
    <n v="1382"/>
    <s v="Armandono"/>
    <x v="65"/>
    <s v="H"/>
    <n v="1342"/>
    <s v="Juin"/>
    <n v="15"/>
    <x v="8"/>
    <m/>
    <s v="Sitam in manso de Rhilato"/>
    <s v="Terra Gerentonis Romni de Sancto Agrippavio quam tenet a priore de Maschanilha"/>
    <s v="Via qua itur de Fonte Triberta versus Riliaco"/>
    <s v="Terra illorum homines de Rilhaco"/>
    <s v="Via vetere que monit de Rilhaco Transcerendo per arborem de Lalieir et versit versus Font de Rilhaco"/>
    <m/>
    <m/>
    <m/>
  </r>
  <r>
    <n v="1382"/>
    <s v="Armandono"/>
    <x v="65"/>
    <s v="H"/>
    <n v="1342"/>
    <s v="Juin"/>
    <n v="15"/>
    <x v="24"/>
    <s v="Borneta"/>
    <m/>
    <s v="Pratis Bressone quod tenet a priore de Maschanilha"/>
    <s v="Ruppis de Bonpas"/>
    <s v="Terra Gerentonis Ronirii quam tenet a priore de Maschanilha"/>
    <s v="Itinere publico per quod itur de sancto Romano versus Lo Posat"/>
    <m/>
    <m/>
    <m/>
  </r>
  <r>
    <n v="1382"/>
    <s v="Armandono"/>
    <x v="65"/>
    <s v="H"/>
    <n v="1342"/>
    <s v="Juin"/>
    <n v="15"/>
    <x v="33"/>
    <m/>
    <s v="Situm in territorio de Ruppe"/>
    <s v="Terra heredum Mathei Blayrant de Ruppe"/>
    <s v="Nemore heredum Petri de Famia de Sancto Agrippavio"/>
    <s v="Rivo de Sahna"/>
    <m/>
    <m/>
    <m/>
    <m/>
  </r>
  <r>
    <n v="1383"/>
    <s v="Symondus"/>
    <x v="65"/>
    <s v="H"/>
    <n v="1342"/>
    <s v="Juin"/>
    <n v="15"/>
    <x v="45"/>
    <m/>
    <s v="Sitam apud Rilhac"/>
    <s v="Terra Gerentonis Romni de Sancto Agrippavio quam tenet a priore de Maschanilha"/>
    <s v="Via qua itur de Fonte Aiberta versus Rilhacum"/>
    <s v="Terra hominum de Rilhaco"/>
    <s v="Via que monet de Rilhaco et vadit versus Fontem de Rialhaco transcerendi per Arborem de Lalier"/>
    <m/>
    <m/>
    <m/>
  </r>
  <r>
    <n v="1383"/>
    <s v="Symondus"/>
    <x v="65"/>
    <s v="H"/>
    <n v="1342"/>
    <s v="Juin"/>
    <n v="15"/>
    <x v="4"/>
    <s v="De Borneta"/>
    <m/>
    <s v="Pratis Bressone anuncule dictorum liberorum quodam rivio medio"/>
    <s v="itinere quo itur de Sancto Romano versus Lo Pozat"/>
    <m/>
    <m/>
    <m/>
    <m/>
    <m/>
  </r>
  <r>
    <n v="1383"/>
    <s v="Symondus"/>
    <x v="65"/>
    <s v="H"/>
    <n v="1342"/>
    <s v="Juin"/>
    <n v="15"/>
    <x v="33"/>
    <m/>
    <s v="Situm in territorio de Ruppe"/>
    <s v="Prato heredum Mathei Duneria"/>
    <s v="Rivo de Sabonia"/>
    <s v="Nemorum Mathei Duneria de Ruppe condam"/>
    <m/>
    <m/>
    <m/>
    <m/>
  </r>
  <r>
    <n v="1383"/>
    <s v="Symondus"/>
    <x v="65"/>
    <s v="H"/>
    <n v="1342"/>
    <s v="Juin"/>
    <n v="15"/>
    <x v="52"/>
    <m/>
    <s v="[…] inter clisis"/>
    <m/>
    <m/>
    <m/>
    <m/>
    <m/>
    <m/>
    <m/>
  </r>
  <r>
    <n v="1401"/>
    <s v="Guilhermus + Jean et Girandus + Michael et Blancha + Armandus + Durandus et Vitalis + Johanneta + Guillermus + Johannes + Stephanus"/>
    <x v="65"/>
    <s v="H"/>
    <n v="1342"/>
    <s v="?"/>
    <s v="?"/>
    <x v="33"/>
    <s v="De Costa chaulet"/>
    <m/>
    <m/>
    <m/>
    <m/>
    <m/>
    <m/>
    <m/>
    <m/>
  </r>
  <r>
    <n v="1401"/>
    <s v="Guilhermus + Jean et Girandus + Michael et Blancha + Armandus + Durandus et Vitalis + Johanneta + Guillermus + Johannes + Stephanus"/>
    <x v="65"/>
    <s v="H"/>
    <n v="1342"/>
    <s v="?"/>
    <s v="?"/>
    <x v="33"/>
    <s v="De Ruppe Triba"/>
    <m/>
    <m/>
    <m/>
    <m/>
    <m/>
    <m/>
    <m/>
    <m/>
  </r>
  <r>
    <n v="1401"/>
    <s v="Guilhermus + Jean et Girandus + Michael et Blancha + Armandus + Durandus et Vitalis + Johanneta + Guillermus + Johannes + Stephanus"/>
    <x v="65"/>
    <s v="H"/>
    <n v="1342"/>
    <s v="?"/>
    <s v="?"/>
    <x v="93"/>
    <s v="De Las Sanholas"/>
    <m/>
    <m/>
    <m/>
    <m/>
    <m/>
    <m/>
    <m/>
    <s v="Quam Emenunt a Johanne de Ailhac et eius uxoris"/>
  </r>
  <r>
    <n v="1401"/>
    <s v="Guilhermus + Jean et Girandus + Michael et Blancha + Armandus + Durandus et Vitalis + Johanneta + Guillermus + Johannes + Stephanus"/>
    <x v="65"/>
    <s v="H"/>
    <n v="1342"/>
    <s v="?"/>
    <s v="?"/>
    <x v="94"/>
    <s v="Ville de Ruppe"/>
    <s v="Sita sunt in territorio de Ruppe"/>
    <m/>
    <m/>
    <m/>
    <m/>
    <m/>
    <m/>
    <m/>
  </r>
  <r>
    <n v="1461"/>
    <s v="Johannis et Girardus"/>
    <x v="65"/>
    <s v="H"/>
    <n v="1342"/>
    <s v="Février"/>
    <s v="?"/>
    <x v="1"/>
    <m/>
    <s v="Sitas apud Rilhac"/>
    <m/>
    <m/>
    <m/>
    <m/>
    <m/>
    <m/>
    <m/>
  </r>
  <r>
    <n v="1461"/>
    <s v="Johannis et Girardus"/>
    <x v="65"/>
    <s v="H"/>
    <n v="1342"/>
    <s v="Février"/>
    <s v="?"/>
    <x v="45"/>
    <m/>
    <m/>
    <s v="Terra Gerentonis Rommi"/>
    <s v="Terra Armandi de Calma et eius filie"/>
    <s v="Terra de Ruppe"/>
    <m/>
    <m/>
    <m/>
    <m/>
  </r>
  <r>
    <n v="1461"/>
    <s v="Johannis et Girardus"/>
    <x v="65"/>
    <s v="H"/>
    <n v="1342"/>
    <s v="Février"/>
    <s v="?"/>
    <x v="40"/>
    <s v="Del Suchayro"/>
    <s v="Sito in territorio de Rilhac"/>
    <m/>
    <m/>
    <m/>
    <m/>
    <m/>
    <m/>
    <s v="Nomine eius uxoris"/>
  </r>
  <r>
    <n v="1461"/>
    <s v="Johannis et Girardus"/>
    <x v="65"/>
    <s v="H"/>
    <n v="1342"/>
    <s v="Février"/>
    <s v="?"/>
    <x v="2"/>
    <m/>
    <s v="Sitas a la Rocha"/>
    <m/>
    <m/>
    <m/>
    <m/>
    <m/>
    <m/>
    <s v="Nomine eius uxoris"/>
  </r>
  <r>
    <n v="1461"/>
    <s v="Johannis et Girardus"/>
    <x v="65"/>
    <s v="H"/>
    <n v="1342"/>
    <s v="Février"/>
    <s v="?"/>
    <x v="68"/>
    <m/>
    <s v="Sitas a la Rocha"/>
    <m/>
    <m/>
    <m/>
    <m/>
    <m/>
    <m/>
    <s v="Nomine eius uxoris"/>
  </r>
  <r>
    <n v="1461"/>
    <s v="Johannis et Girardus"/>
    <x v="65"/>
    <s v="H"/>
    <n v="1342"/>
    <s v="Février"/>
    <s v="?"/>
    <x v="3"/>
    <s v="De Fago"/>
    <m/>
    <m/>
    <m/>
    <m/>
    <m/>
    <m/>
    <m/>
    <s v="Nomine eius uxoris"/>
  </r>
  <r>
    <n v="1461"/>
    <s v="Johannis et Girardus"/>
    <x v="65"/>
    <s v="H"/>
    <n v="1342"/>
    <s v="Février"/>
    <s v="?"/>
    <x v="33"/>
    <m/>
    <s v="Apud nemus de Ruppe"/>
    <m/>
    <m/>
    <m/>
    <m/>
    <m/>
    <m/>
    <s v="Nomine eius uxoris"/>
  </r>
  <r>
    <n v="1461"/>
    <s v="Johannis et Girardus"/>
    <x v="65"/>
    <s v="H"/>
    <n v="1342"/>
    <s v="Février"/>
    <s v="?"/>
    <x v="12"/>
    <m/>
    <m/>
    <m/>
    <m/>
    <m/>
    <m/>
    <m/>
    <m/>
    <s v="Nomine eius uxoris + Qui condam fuerunt Michaelis Clergue"/>
  </r>
  <r>
    <n v="1461"/>
    <s v="Johannis et Girardus"/>
    <x v="65"/>
    <s v="H"/>
    <n v="1342"/>
    <s v="Février"/>
    <s v="?"/>
    <x v="4"/>
    <s v="De Molino"/>
    <m/>
    <m/>
    <m/>
    <m/>
    <m/>
    <m/>
    <m/>
    <s v="Nomine eius uxoris"/>
  </r>
  <r>
    <n v="1461"/>
    <s v="Johannis et Girardus"/>
    <x v="65"/>
    <s v="H"/>
    <n v="1342"/>
    <s v="Février"/>
    <s v="?"/>
    <x v="4"/>
    <s v="Laygaa"/>
    <m/>
    <m/>
    <m/>
    <m/>
    <m/>
    <m/>
    <m/>
    <s v="Nomine eius uxoris"/>
  </r>
  <r>
    <n v="1461"/>
    <s v="Johannis et Girardus"/>
    <x v="65"/>
    <s v="H"/>
    <n v="1342"/>
    <s v="Février"/>
    <s v="?"/>
    <x v="4"/>
    <s v="For[-]coho"/>
    <m/>
    <m/>
    <m/>
    <m/>
    <m/>
    <m/>
    <m/>
    <s v="Nomine eius uxoris"/>
  </r>
  <r>
    <n v="1461"/>
    <s v="Johannis et Girardus"/>
    <x v="65"/>
    <s v="H"/>
    <n v="1342"/>
    <s v="Février"/>
    <s v="?"/>
    <x v="78"/>
    <s v="La Sanha"/>
    <m/>
    <m/>
    <m/>
    <m/>
    <m/>
    <m/>
    <m/>
    <s v="Nomine eius uxoris"/>
  </r>
  <r>
    <n v="1462"/>
    <s v="Michael"/>
    <x v="65"/>
    <s v="H"/>
    <n v="1342"/>
    <s v="Février"/>
    <s v="?"/>
    <x v="1"/>
    <m/>
    <s v="Sitas apud Rilhac"/>
    <m/>
    <m/>
    <m/>
    <m/>
    <m/>
    <m/>
    <m/>
  </r>
  <r>
    <n v="1463"/>
    <s v="Blanchia"/>
    <x v="65"/>
    <s v="F"/>
    <n v="1342"/>
    <s v="Février"/>
    <s v="?"/>
    <x v="1"/>
    <m/>
    <s v="Sitas apud Rilhac"/>
    <m/>
    <m/>
    <m/>
    <m/>
    <m/>
    <m/>
    <m/>
  </r>
  <r>
    <n v="1421"/>
    <s v="Durandus"/>
    <x v="66"/>
    <s v="H"/>
    <n v="1342"/>
    <s v="Février"/>
    <n v="12"/>
    <x v="7"/>
    <m/>
    <s v="Sitam apud Ruela"/>
    <s v="Domo Andree de Ruela"/>
    <s v="Domo Girandi de Ruela"/>
    <m/>
    <m/>
    <m/>
    <m/>
    <m/>
  </r>
  <r>
    <n v="1421"/>
    <s v="Durandus"/>
    <x v="66"/>
    <s v="H"/>
    <n v="1342"/>
    <s v="Février"/>
    <n v="12"/>
    <x v="2"/>
    <m/>
    <s v="Situm apud Ruela"/>
    <s v="Orto Girandi de Ruela"/>
    <m/>
    <m/>
    <m/>
    <m/>
    <m/>
    <m/>
  </r>
  <r>
    <n v="1421"/>
    <s v="Durandus"/>
    <x v="66"/>
    <s v="H"/>
    <n v="1342"/>
    <s v="Février"/>
    <n v="12"/>
    <x v="68"/>
    <s v="De Lalieir"/>
    <m/>
    <s v="Via qua itur de Ruela versus Bergias"/>
    <s v="Ouchia vocata de Lissarco"/>
    <m/>
    <m/>
    <m/>
    <m/>
    <m/>
  </r>
  <r>
    <n v="1421"/>
    <s v="Durandus"/>
    <x v="66"/>
    <s v="H"/>
    <n v="1342"/>
    <s v="Février"/>
    <n v="12"/>
    <x v="95"/>
    <s v="Del Sanhatz"/>
    <m/>
    <m/>
    <m/>
    <m/>
    <m/>
    <m/>
    <m/>
    <m/>
  </r>
  <r>
    <n v="1421"/>
    <s v="Durandus"/>
    <x v="66"/>
    <s v="H"/>
    <n v="1342"/>
    <s v="Février"/>
    <n v="12"/>
    <x v="95"/>
    <s v="Cumba Corta"/>
    <m/>
    <s v="Pasturale Girandi de Ruela"/>
    <s v="Terra mansi de Tensana"/>
    <m/>
    <m/>
    <m/>
    <m/>
    <m/>
  </r>
  <r>
    <n v="1421"/>
    <s v="Durandus"/>
    <x v="66"/>
    <s v="H"/>
    <n v="1342"/>
    <s v="Février"/>
    <n v="12"/>
    <x v="96"/>
    <s v="Cumba Corta"/>
    <m/>
    <s v="Pasturale Girandi de Ruela"/>
    <s v="Terra mansi de Tensana"/>
    <m/>
    <m/>
    <m/>
    <m/>
    <m/>
  </r>
  <r>
    <n v="1421"/>
    <s v="Durandus"/>
    <x v="66"/>
    <s v="H"/>
    <n v="1342"/>
    <s v="Février"/>
    <n v="12"/>
    <x v="4"/>
    <s v="Las Cras"/>
    <m/>
    <s v="Terra mansi de Tansano"/>
    <s v="Prato Girandi de Ruela"/>
    <m/>
    <m/>
    <m/>
    <m/>
    <m/>
  </r>
  <r>
    <n v="1421"/>
    <s v="Durandus"/>
    <x v="66"/>
    <s v="H"/>
    <n v="1342"/>
    <s v="Février"/>
    <n v="12"/>
    <x v="4"/>
    <m/>
    <s v="De Subtus La Passaa"/>
    <s v="Prato suo"/>
    <s v="Terra mansi de Tansa"/>
    <m/>
    <m/>
    <m/>
    <m/>
    <m/>
  </r>
  <r>
    <n v="1421"/>
    <s v="Durandus"/>
    <x v="66"/>
    <s v="H"/>
    <n v="1342"/>
    <s v="Février"/>
    <n v="12"/>
    <x v="12"/>
    <s v="Las Pinetas"/>
    <m/>
    <m/>
    <m/>
    <m/>
    <m/>
    <m/>
    <m/>
    <m/>
  </r>
  <r>
    <n v="1421"/>
    <s v="Durandus"/>
    <x v="66"/>
    <s v="H"/>
    <n v="1342"/>
    <s v="Février"/>
    <n v="12"/>
    <x v="97"/>
    <s v="Ruela"/>
    <m/>
    <s v="Terra Belli Prandii"/>
    <s v="Terra mansi de Tensa"/>
    <m/>
    <m/>
    <m/>
    <m/>
    <m/>
  </r>
  <r>
    <n v="1891"/>
    <s v="Anthoninus"/>
    <x v="66"/>
    <s v="H"/>
    <n v="1380"/>
    <s v="Juin"/>
    <n v="9"/>
    <x v="13"/>
    <s v="De Ruela sive dal Lop"/>
    <s v="Habitator grangie de Ruela sive del Lep"/>
    <s v="Itinere publico quo itur de Devesseto apud Montem Saltonem"/>
    <s v="Terra quartinia preceptoris Devesseti"/>
    <s v="Prato Johannis de Ruela (A parte inferiori)"/>
    <s v="De Jude recte constendendo et sequesdendo usque ad idem predictem et ab jude sequendo et nine dictum iter usque ad fagum vocatum de Chandeyt it de dicto fagii recte sequendo usque aus vayialhs que scita sunt ex lola nemoris de Ruela"/>
    <s v="Meatis et terminis infra nemus de Ruela de precepto ut mandato veneris et religisi viri suis Arthaudi de Fay condam preceptoris Devesseti plantatis et directis"/>
    <s v="Sequntur et iude usque ad terram Durandi de Ruela et per jude usque ad aliam terram quartinam dicti domini preceptoris Devesseti et ab jude descendendo usque ad dictam pratum dicti Johannis de Ruela"/>
    <m/>
  </r>
  <r>
    <n v="1891"/>
    <s v="Anthoninus"/>
    <x v="66"/>
    <s v="H"/>
    <n v="1380"/>
    <s v="Juin"/>
    <n v="9"/>
    <x v="45"/>
    <s v="De Ruela sive dal Lop"/>
    <m/>
    <m/>
    <m/>
    <m/>
    <m/>
    <m/>
    <m/>
    <m/>
  </r>
  <r>
    <n v="1891"/>
    <s v="Anthoninus"/>
    <x v="66"/>
    <s v="H"/>
    <n v="1380"/>
    <s v="Juin"/>
    <n v="9"/>
    <x v="0"/>
    <m/>
    <s v="Sitam juxta iter quo quo itur de Devesseto apud Montem Saltonem"/>
    <s v="Itinere publico quo itur de Devesseto apud Montem Saltonem"/>
    <s v="Terra Dens Posarotz quadam passata media"/>
    <s v="Terra quartina domus Devesseti"/>
    <m/>
    <m/>
    <m/>
    <m/>
  </r>
  <r>
    <n v="1891"/>
    <s v="Anthoninus"/>
    <x v="66"/>
    <s v="H"/>
    <n v="1380"/>
    <s v="Juin"/>
    <n v="9"/>
    <x v="4"/>
    <m/>
    <m/>
    <s v="Prati prandu"/>
    <s v="Terra quartina preceptoris Devesseti"/>
    <m/>
    <m/>
    <m/>
    <m/>
    <m/>
  </r>
  <r>
    <n v="1891"/>
    <s v="Anthoninus"/>
    <x v="66"/>
    <s v="H"/>
    <n v="1380"/>
    <s v="Juin"/>
    <n v="9"/>
    <x v="82"/>
    <m/>
    <m/>
    <s v="Prato suo quadam passatam intermedia"/>
    <m/>
    <m/>
    <m/>
    <m/>
    <m/>
    <m/>
  </r>
  <r>
    <n v="1891"/>
    <s v="Anthoninus"/>
    <x v="66"/>
    <s v="H"/>
    <n v="1380"/>
    <s v="Juin"/>
    <n v="9"/>
    <x v="15"/>
    <m/>
    <s v="Situm inter nemore vocata de Ruela et de Bello Prandio"/>
    <s v="Ipsis nemoribus"/>
    <s v="Itinere quo itur et permenti"/>
    <m/>
    <m/>
    <m/>
    <m/>
    <m/>
  </r>
  <r>
    <n v="1891"/>
    <s v="Anthoninus"/>
    <x v="66"/>
    <s v="H"/>
    <n v="1380"/>
    <s v="Juin"/>
    <n v="9"/>
    <x v="65"/>
    <m/>
    <m/>
    <m/>
    <m/>
    <m/>
    <m/>
    <m/>
    <m/>
    <s v="Quod hec in nemore de Ruela de capiendo de lignis sive modernis perediffitando domos et grangias dicti loci et non de alibi et delignis fixit sive Sechas per suo calesacgio et de pasturis uti pro sive herbis prout consuenerut"/>
  </r>
  <r>
    <n v="1891"/>
    <s v="Anthoninus"/>
    <x v="66"/>
    <s v="H"/>
    <n v="1380"/>
    <s v="Juin"/>
    <n v="9"/>
    <x v="98"/>
    <m/>
    <m/>
    <m/>
    <m/>
    <m/>
    <m/>
    <m/>
    <m/>
    <s v="Quod hec in nemore de Ruela de capiendo de lignis sive modernis perediffitando domos et grangias dicti loci et non de alibi et delignis fixit sive Sechas per suo calesacgio et de pasturis uti pro sive herbis prout consuenerut"/>
  </r>
  <r>
    <n v="1891"/>
    <s v="Anthoninus"/>
    <x v="66"/>
    <s v="H"/>
    <n v="1380"/>
    <s v="Juin"/>
    <n v="9"/>
    <x v="99"/>
    <m/>
    <m/>
    <m/>
    <m/>
    <m/>
    <m/>
    <m/>
    <m/>
    <s v="Quod hec in nemore de Ruela de capiendo de lignis sive modernis perediffitando domos et grangias dicti loci et non de alibi et delignis fixit sive Sechas per suo calesacgio et de pasturis uti pro sive herbis prout consuenerut"/>
  </r>
  <r>
    <n v="1891"/>
    <s v="Anthoninus"/>
    <x v="66"/>
    <s v="H"/>
    <n v="1380"/>
    <s v="Juin"/>
    <n v="9"/>
    <x v="100"/>
    <m/>
    <m/>
    <m/>
    <m/>
    <m/>
    <m/>
    <m/>
    <m/>
    <s v="Per quod ipsum aquisivit a fratre Michaelo pilosi de trico"/>
  </r>
  <r>
    <n v="1891"/>
    <s v="Anthoninus"/>
    <x v="66"/>
    <s v="H"/>
    <n v="1380"/>
    <s v="Juin"/>
    <n v="9"/>
    <x v="101"/>
    <m/>
    <m/>
    <m/>
    <m/>
    <m/>
    <m/>
    <m/>
    <m/>
    <s v="Per quod ipsum aquisivit a fratre Michaelo pilosi de trico"/>
  </r>
  <r>
    <n v="1303"/>
    <s v="Johannes"/>
    <x v="67"/>
    <s v="H"/>
    <n v="1343"/>
    <s v="Décembre"/>
    <n v="10"/>
    <x v="0"/>
    <s v="La Costa de Lagrenol de Riotort"/>
    <m/>
    <s v="Terra Anthonii del Boschet de Rochabona"/>
    <s v="Terra Guillermi del Boschet"/>
    <m/>
    <m/>
    <m/>
    <m/>
    <m/>
  </r>
  <r>
    <n v="1303"/>
    <s v="Johannes"/>
    <x v="67"/>
    <s v="H"/>
    <n v="1343"/>
    <s v="Décembre"/>
    <n v="10"/>
    <x v="0"/>
    <s v="Petiam Costam de Boscharai"/>
    <m/>
    <s v="Terra Vitalis del Beal (a duabus partibus)"/>
    <m/>
    <m/>
    <m/>
    <m/>
    <m/>
    <m/>
  </r>
  <r>
    <n v="1332"/>
    <s v="Petrus et Laurentius"/>
    <x v="68"/>
    <s v="H"/>
    <n v="1343"/>
    <s v="Décembre"/>
    <n v="12"/>
    <x v="3"/>
    <s v="Las Charals"/>
    <m/>
    <m/>
    <m/>
    <m/>
    <m/>
    <m/>
    <m/>
    <m/>
  </r>
  <r>
    <n v="1332"/>
    <s v="Petrus et Laurentius"/>
    <x v="68"/>
    <s v="H"/>
    <n v="1343"/>
    <s v="Décembre"/>
    <n v="12"/>
    <x v="3"/>
    <s v="Pererio"/>
    <m/>
    <m/>
    <m/>
    <m/>
    <m/>
    <m/>
    <m/>
    <m/>
  </r>
  <r>
    <n v="1332"/>
    <s v="Petrus et Laurentius"/>
    <x v="68"/>
    <s v="H"/>
    <n v="1343"/>
    <s v="Décembre"/>
    <n v="12"/>
    <x v="3"/>
    <s v="Croso de Fontaynas"/>
    <m/>
    <m/>
    <m/>
    <m/>
    <m/>
    <m/>
    <m/>
    <m/>
  </r>
  <r>
    <n v="1332"/>
    <s v="Petrus et Laurentius"/>
    <x v="68"/>
    <s v="H"/>
    <n v="1343"/>
    <s v="Décembre"/>
    <n v="12"/>
    <x v="68"/>
    <m/>
    <m/>
    <s v="Recto domus eorum"/>
    <m/>
    <m/>
    <m/>
    <m/>
    <m/>
    <m/>
  </r>
  <r>
    <n v="1332"/>
    <s v="Petrus et Laurentius"/>
    <x v="68"/>
    <s v="H"/>
    <n v="1343"/>
    <s v="Décembre"/>
    <n v="12"/>
    <x v="2"/>
    <s v="Pomerio"/>
    <m/>
    <m/>
    <m/>
    <m/>
    <m/>
    <m/>
    <m/>
    <m/>
  </r>
  <r>
    <n v="1332"/>
    <s v="Petrus et Laurentius"/>
    <x v="68"/>
    <s v="H"/>
    <n v="1343"/>
    <s v="Décembre"/>
    <n v="12"/>
    <x v="7"/>
    <m/>
    <s v="Sitam apud la Rocha"/>
    <m/>
    <m/>
    <m/>
    <m/>
    <m/>
    <m/>
    <m/>
  </r>
  <r>
    <n v="1332"/>
    <s v="Petrus et Laurentius"/>
    <x v="68"/>
    <s v="H"/>
    <n v="1343"/>
    <s v="Décembre"/>
    <n v="12"/>
    <x v="2"/>
    <m/>
    <m/>
    <s v="Juxta ortum Dens Verilhas"/>
    <m/>
    <m/>
    <m/>
    <m/>
    <m/>
    <m/>
  </r>
  <r>
    <n v="1332"/>
    <s v="Petrus et Laurentius"/>
    <x v="68"/>
    <s v="H"/>
    <n v="1343"/>
    <s v="Décembre"/>
    <n v="12"/>
    <x v="3"/>
    <s v="Dens Mais"/>
    <m/>
    <s v="Petiam Armandi de Ruppe"/>
    <m/>
    <m/>
    <m/>
    <m/>
    <m/>
    <m/>
  </r>
  <r>
    <n v="1332"/>
    <s v="Petrus et Laurentius"/>
    <x v="68"/>
    <s v="H"/>
    <n v="1343"/>
    <s v="Décembre"/>
    <n v="12"/>
    <x v="3"/>
    <s v="Pomerio"/>
    <s v="Subtus petiam vicatam de Lalayso"/>
    <m/>
    <m/>
    <m/>
    <m/>
    <m/>
    <m/>
    <m/>
  </r>
  <r>
    <n v="1332"/>
    <s v="Petrus et Laurentius"/>
    <x v="68"/>
    <s v="H"/>
    <n v="1343"/>
    <s v="Décembre"/>
    <n v="12"/>
    <x v="3"/>
    <s v="De Molendino de la Pansayra"/>
    <m/>
    <m/>
    <m/>
    <m/>
    <m/>
    <m/>
    <m/>
    <m/>
  </r>
  <r>
    <n v="1332"/>
    <s v="Petrus et Laurentius"/>
    <x v="68"/>
    <s v="H"/>
    <n v="1343"/>
    <s v="Décembre"/>
    <n v="12"/>
    <x v="3"/>
    <s v="De Prato Retondo"/>
    <m/>
    <m/>
    <m/>
    <m/>
    <m/>
    <m/>
    <m/>
    <m/>
  </r>
  <r>
    <n v="1332"/>
    <s v="Petrus et Laurentius"/>
    <x v="68"/>
    <s v="H"/>
    <n v="1343"/>
    <s v="Décembre"/>
    <n v="12"/>
    <x v="3"/>
    <m/>
    <m/>
    <s v="Juxta pratum de Prareont"/>
    <m/>
    <m/>
    <m/>
    <m/>
    <m/>
    <m/>
  </r>
  <r>
    <n v="1332"/>
    <s v="Petrus et Laurentius"/>
    <x v="68"/>
    <s v="H"/>
    <n v="1343"/>
    <s v="Décembre"/>
    <n v="12"/>
    <x v="40"/>
    <m/>
    <m/>
    <s v="Juxta pratum Del Brut"/>
    <s v="Ante domum de Lasguezas"/>
    <m/>
    <m/>
    <m/>
    <m/>
    <m/>
  </r>
  <r>
    <n v="1332"/>
    <s v="Petrus et Laurentius"/>
    <x v="68"/>
    <s v="H"/>
    <n v="1343"/>
    <s v="Décembre"/>
    <n v="12"/>
    <x v="3"/>
    <s v="Dens Pasturals"/>
    <m/>
    <m/>
    <m/>
    <m/>
    <m/>
    <m/>
    <m/>
    <m/>
  </r>
  <r>
    <n v="1332"/>
    <s v="Petrus et Laurentius"/>
    <x v="68"/>
    <s v="H"/>
    <n v="1343"/>
    <s v="Décembre"/>
    <n v="12"/>
    <x v="3"/>
    <s v="Las Sanholas"/>
    <m/>
    <m/>
    <m/>
    <m/>
    <m/>
    <m/>
    <m/>
    <m/>
  </r>
  <r>
    <n v="1332"/>
    <s v="Petrus et Laurentius"/>
    <x v="68"/>
    <s v="H"/>
    <n v="1343"/>
    <s v="Décembre"/>
    <n v="12"/>
    <x v="3"/>
    <s v="De la cros de Vasal"/>
    <m/>
    <m/>
    <m/>
    <m/>
    <m/>
    <m/>
    <m/>
    <m/>
  </r>
  <r>
    <n v="1332"/>
    <s v="Petrus et Laurentius"/>
    <x v="68"/>
    <s v="H"/>
    <n v="1343"/>
    <s v="Décembre"/>
    <n v="12"/>
    <x v="3"/>
    <s v="Del Sape"/>
    <m/>
    <m/>
    <m/>
    <m/>
    <m/>
    <m/>
    <m/>
    <m/>
  </r>
  <r>
    <n v="1332"/>
    <s v="Petrus et Laurentius"/>
    <x v="68"/>
    <s v="H"/>
    <n v="1343"/>
    <s v="Décembre"/>
    <n v="12"/>
    <x v="4"/>
    <s v="De Sanha Laures"/>
    <m/>
    <m/>
    <m/>
    <m/>
    <m/>
    <m/>
    <m/>
    <m/>
  </r>
  <r>
    <n v="1332"/>
    <s v="Petrus et Laurentius"/>
    <x v="68"/>
    <s v="H"/>
    <n v="1343"/>
    <s v="Décembre"/>
    <n v="12"/>
    <x v="4"/>
    <s v="Cumba Sola"/>
    <m/>
    <m/>
    <m/>
    <m/>
    <m/>
    <m/>
    <m/>
    <m/>
  </r>
  <r>
    <n v="1332"/>
    <s v="Petrus et Laurentius"/>
    <x v="68"/>
    <s v="H"/>
    <n v="1343"/>
    <s v="Décembre"/>
    <n v="12"/>
    <x v="4"/>
    <s v="Las Sanholas"/>
    <m/>
    <m/>
    <m/>
    <m/>
    <m/>
    <m/>
    <m/>
    <m/>
  </r>
  <r>
    <n v="1332"/>
    <s v="Petrus et Laurentius"/>
    <x v="68"/>
    <s v="H"/>
    <n v="1343"/>
    <s v="Décembre"/>
    <n v="12"/>
    <x v="4"/>
    <s v="Comenialait"/>
    <m/>
    <m/>
    <m/>
    <m/>
    <m/>
    <m/>
    <m/>
    <m/>
  </r>
  <r>
    <n v="1332"/>
    <s v="Petrus et Laurentius"/>
    <x v="68"/>
    <s v="H"/>
    <n v="1343"/>
    <s v="Décembre"/>
    <n v="12"/>
    <x v="4"/>
    <s v="Comenialait"/>
    <s v="In summitatem"/>
    <m/>
    <m/>
    <m/>
    <m/>
    <m/>
    <m/>
    <m/>
  </r>
  <r>
    <n v="1332"/>
    <s v="Petrus et Laurentius"/>
    <x v="68"/>
    <s v="H"/>
    <n v="1343"/>
    <s v="Décembre"/>
    <n v="12"/>
    <x v="4"/>
    <s v="Las Prinalha"/>
    <m/>
    <s v="Juxta pratum Dens Pupartz"/>
    <m/>
    <m/>
    <m/>
    <m/>
    <m/>
    <m/>
  </r>
  <r>
    <n v="1332"/>
    <s v="Petrus et Laurentius"/>
    <x v="68"/>
    <s v="H"/>
    <n v="1343"/>
    <s v="Décembre"/>
    <n v="12"/>
    <x v="4"/>
    <s v="Fontaynas"/>
    <m/>
    <m/>
    <m/>
    <m/>
    <m/>
    <m/>
    <m/>
    <m/>
  </r>
  <r>
    <n v="1332"/>
    <s v="Petrus et Laurentius"/>
    <x v="68"/>
    <s v="H"/>
    <n v="1343"/>
    <s v="Décembre"/>
    <n v="12"/>
    <x v="4"/>
    <s v="De Croso de Fontaynas"/>
    <m/>
    <m/>
    <m/>
    <m/>
    <m/>
    <m/>
    <m/>
    <m/>
  </r>
  <r>
    <n v="1332"/>
    <s v="Petrus et Laurentius"/>
    <x v="68"/>
    <s v="H"/>
    <n v="1343"/>
    <s v="Décembre"/>
    <n v="12"/>
    <x v="33"/>
    <m/>
    <m/>
    <s v="Juxta nemus de Sanna"/>
    <m/>
    <m/>
    <m/>
    <m/>
    <m/>
    <m/>
  </r>
  <r>
    <n v="1332"/>
    <s v="Petrus et Laurentius"/>
    <x v="68"/>
    <s v="H"/>
    <n v="1343"/>
    <s v="Décembre"/>
    <n v="12"/>
    <x v="102"/>
    <s v="Martine uxor Petri"/>
    <s v="Tenementum de Ruppe"/>
    <m/>
    <m/>
    <m/>
    <m/>
    <m/>
    <m/>
    <m/>
  </r>
  <r>
    <n v="1333"/>
    <s v="Stephanis"/>
    <x v="68"/>
    <s v="H"/>
    <n v="1343"/>
    <s v="Décembre"/>
    <n v="12"/>
    <x v="103"/>
    <s v="Las Charals"/>
    <m/>
    <m/>
    <m/>
    <m/>
    <m/>
    <m/>
    <m/>
    <m/>
  </r>
  <r>
    <n v="1333"/>
    <s v="Stephanis"/>
    <x v="68"/>
    <s v="H"/>
    <n v="1343"/>
    <s v="Décembre"/>
    <n v="12"/>
    <x v="104"/>
    <s v="Las Cardinas"/>
    <m/>
    <m/>
    <m/>
    <m/>
    <m/>
    <m/>
    <m/>
    <m/>
  </r>
  <r>
    <n v="1333"/>
    <s v="Stephanis"/>
    <x v="68"/>
    <s v="H"/>
    <n v="1343"/>
    <s v="Décembre"/>
    <n v="12"/>
    <x v="105"/>
    <s v="De Croso"/>
    <m/>
    <m/>
    <m/>
    <m/>
    <m/>
    <m/>
    <m/>
    <m/>
  </r>
  <r>
    <n v="1341"/>
    <s v="Guillermus"/>
    <x v="68"/>
    <s v="H"/>
    <n v="1343"/>
    <s v="Décembre"/>
    <n v="12"/>
    <x v="7"/>
    <m/>
    <s v="Sitam apud la Rocha"/>
    <s v="Domo Johanne filie Guillermi Bercheri"/>
    <m/>
    <m/>
    <m/>
    <m/>
    <m/>
    <m/>
  </r>
  <r>
    <n v="1341"/>
    <s v="Guillermus"/>
    <x v="68"/>
    <s v="H"/>
    <n v="1343"/>
    <s v="Décembre"/>
    <n v="12"/>
    <x v="3"/>
    <s v="Lo Clapo del Brust"/>
    <m/>
    <m/>
    <m/>
    <m/>
    <m/>
    <m/>
    <m/>
    <m/>
  </r>
  <r>
    <n v="1341"/>
    <s v="Guillermus"/>
    <x v="68"/>
    <s v="H"/>
    <n v="1343"/>
    <s v="Décembre"/>
    <n v="12"/>
    <x v="3"/>
    <s v="Las Sanholas"/>
    <m/>
    <m/>
    <m/>
    <m/>
    <m/>
    <m/>
    <m/>
    <m/>
  </r>
  <r>
    <n v="1341"/>
    <s v="Guillermus"/>
    <x v="68"/>
    <s v="H"/>
    <n v="1343"/>
    <s v="Décembre"/>
    <n v="12"/>
    <x v="3"/>
    <s v="Del Sanzer"/>
    <m/>
    <m/>
    <m/>
    <m/>
    <m/>
    <m/>
    <m/>
    <m/>
  </r>
  <r>
    <n v="1341"/>
    <s v="Guillermus"/>
    <x v="68"/>
    <s v="H"/>
    <n v="1343"/>
    <s v="Décembre"/>
    <n v="12"/>
    <x v="3"/>
    <s v="De Prato Rotondo"/>
    <m/>
    <m/>
    <m/>
    <m/>
    <m/>
    <m/>
    <m/>
    <m/>
  </r>
  <r>
    <n v="1341"/>
    <s v="Guillermus"/>
    <x v="68"/>
    <s v="H"/>
    <n v="1343"/>
    <s v="Décembre"/>
    <n v="12"/>
    <x v="3"/>
    <s v="De Supra Laribassa"/>
    <m/>
    <m/>
    <m/>
    <m/>
    <m/>
    <m/>
    <m/>
    <m/>
  </r>
  <r>
    <n v="1341"/>
    <s v="Guillermus"/>
    <x v="68"/>
    <s v="H"/>
    <n v="1343"/>
    <s v="Décembre"/>
    <n v="12"/>
    <x v="3"/>
    <s v="De Leira"/>
    <m/>
    <m/>
    <m/>
    <m/>
    <m/>
    <m/>
    <m/>
    <m/>
  </r>
  <r>
    <n v="1341"/>
    <s v="Guillermus"/>
    <x v="68"/>
    <s v="H"/>
    <n v="1343"/>
    <s v="Décembre"/>
    <n v="12"/>
    <x v="106"/>
    <s v="De la Rocha"/>
    <m/>
    <m/>
    <m/>
    <m/>
    <m/>
    <m/>
    <m/>
    <m/>
  </r>
  <r>
    <n v="1341"/>
    <s v="Guillermus"/>
    <x v="68"/>
    <s v="H"/>
    <n v="1343"/>
    <s v="Décembre"/>
    <n v="12"/>
    <x v="33"/>
    <s v="De Tartaruc"/>
    <m/>
    <m/>
    <m/>
    <m/>
    <m/>
    <m/>
    <m/>
    <m/>
  </r>
  <r>
    <n v="1342"/>
    <s v="Johannes"/>
    <x v="68"/>
    <s v="H"/>
    <n v="1343"/>
    <s v="Décembre"/>
    <n v="12"/>
    <x v="3"/>
    <s v="Del Sanzer"/>
    <m/>
    <m/>
    <m/>
    <m/>
    <m/>
    <m/>
    <m/>
    <m/>
  </r>
  <r>
    <n v="1342"/>
    <s v="Johannes"/>
    <x v="68"/>
    <s v="H"/>
    <n v="1343"/>
    <s v="Décembre"/>
    <n v="12"/>
    <x v="3"/>
    <s v="Del Pinet"/>
    <m/>
    <m/>
    <m/>
    <m/>
    <m/>
    <m/>
    <m/>
    <m/>
  </r>
  <r>
    <n v="1342"/>
    <s v="Johannes"/>
    <x v="68"/>
    <s v="H"/>
    <n v="1343"/>
    <s v="Décembre"/>
    <n v="12"/>
    <x v="3"/>
    <s v="De Sanha Lacgier"/>
    <m/>
    <m/>
    <m/>
    <m/>
    <m/>
    <m/>
    <m/>
    <m/>
  </r>
  <r>
    <n v="1342"/>
    <s v="Johannes"/>
    <x v="68"/>
    <s v="H"/>
    <n v="1343"/>
    <s v="Décembre"/>
    <n v="12"/>
    <x v="3"/>
    <s v="De Las Sanhalas"/>
    <m/>
    <m/>
    <m/>
    <m/>
    <m/>
    <m/>
    <m/>
    <m/>
  </r>
  <r>
    <n v="1342"/>
    <s v="Johannes"/>
    <x v="68"/>
    <s v="H"/>
    <n v="1343"/>
    <s v="Décembre"/>
    <n v="12"/>
    <x v="3"/>
    <s v="Del Silh de Laribassa"/>
    <m/>
    <m/>
    <m/>
    <m/>
    <m/>
    <m/>
    <m/>
    <m/>
  </r>
  <r>
    <n v="1342"/>
    <s v="Johannes"/>
    <x v="68"/>
    <s v="H"/>
    <n v="1343"/>
    <s v="Décembre"/>
    <n v="12"/>
    <x v="22"/>
    <s v="De Comemalar"/>
    <m/>
    <m/>
    <m/>
    <m/>
    <m/>
    <m/>
    <m/>
    <m/>
  </r>
  <r>
    <n v="1342"/>
    <s v="Johannes"/>
    <x v="68"/>
    <s v="H"/>
    <n v="1343"/>
    <s v="Décembre"/>
    <n v="12"/>
    <x v="3"/>
    <s v="De Prato Rotendo"/>
    <m/>
    <m/>
    <m/>
    <m/>
    <m/>
    <m/>
    <m/>
    <m/>
  </r>
  <r>
    <n v="1342"/>
    <s v="Johannes"/>
    <x v="68"/>
    <s v="H"/>
    <n v="1343"/>
    <s v="Décembre"/>
    <n v="12"/>
    <x v="3"/>
    <s v="De Salvaneschas"/>
    <m/>
    <m/>
    <m/>
    <m/>
    <m/>
    <m/>
    <m/>
    <m/>
  </r>
  <r>
    <n v="1342"/>
    <s v="Johannes"/>
    <x v="68"/>
    <s v="H"/>
    <n v="1343"/>
    <s v="Décembre"/>
    <n v="12"/>
    <x v="4"/>
    <s v="De Molendino"/>
    <m/>
    <m/>
    <m/>
    <m/>
    <m/>
    <m/>
    <m/>
    <m/>
  </r>
  <r>
    <n v="1342"/>
    <s v="Johannes"/>
    <x v="68"/>
    <s v="H"/>
    <n v="1343"/>
    <s v="Décembre"/>
    <n v="12"/>
    <x v="4"/>
    <s v="De Tensonio"/>
    <m/>
    <m/>
    <m/>
    <m/>
    <m/>
    <m/>
    <m/>
    <m/>
  </r>
  <r>
    <n v="1342"/>
    <s v="Johannes"/>
    <x v="68"/>
    <s v="H"/>
    <n v="1343"/>
    <s v="Décembre"/>
    <n v="12"/>
    <x v="33"/>
    <s v="De Ruppe Forti"/>
    <m/>
    <m/>
    <m/>
    <m/>
    <m/>
    <m/>
    <m/>
    <m/>
  </r>
  <r>
    <n v="1342"/>
    <s v="Johannes"/>
    <x v="68"/>
    <s v="H"/>
    <n v="1343"/>
    <s v="Décembre"/>
    <n v="12"/>
    <x v="33"/>
    <s v="De Cartarut"/>
    <m/>
    <m/>
    <m/>
    <m/>
    <m/>
    <m/>
    <m/>
    <m/>
  </r>
  <r>
    <n v="1342"/>
    <s v="Johannes"/>
    <x v="68"/>
    <s v="H"/>
    <n v="1343"/>
    <s v="Décembre"/>
    <n v="12"/>
    <x v="106"/>
    <s v="Ruppe"/>
    <m/>
    <m/>
    <m/>
    <m/>
    <m/>
    <m/>
    <m/>
    <m/>
  </r>
  <r>
    <n v="1342"/>
    <s v="Johannes"/>
    <x v="68"/>
    <s v="H"/>
    <n v="1343"/>
    <s v="Décembre"/>
    <n v="12"/>
    <x v="107"/>
    <s v="Ruppe"/>
    <m/>
    <m/>
    <m/>
    <m/>
    <m/>
    <m/>
    <m/>
    <m/>
  </r>
  <r>
    <n v="1342"/>
    <s v="Johannes"/>
    <x v="68"/>
    <s v="H"/>
    <n v="1343"/>
    <s v="Décembre"/>
    <n v="12"/>
    <x v="7"/>
    <m/>
    <s v="Sitam apud Ruppe"/>
    <m/>
    <m/>
    <m/>
    <m/>
    <m/>
    <m/>
    <m/>
  </r>
  <r>
    <n v="1342"/>
    <s v="Johannes"/>
    <x v="68"/>
    <s v="H"/>
    <n v="1343"/>
    <s v="Décembre"/>
    <n v="12"/>
    <x v="2"/>
    <m/>
    <m/>
    <s v="Petia de Leria filiari"/>
    <s v="?"/>
    <m/>
    <m/>
    <m/>
    <m/>
    <m/>
  </r>
  <r>
    <n v="1342"/>
    <s v="Johannes"/>
    <x v="68"/>
    <s v="H"/>
    <n v="1343"/>
    <s v="Décembre"/>
    <n v="12"/>
    <x v="2"/>
    <m/>
    <m/>
    <s v="Via publica qua itur de Devesseto versus Locrostel"/>
    <s v="Orto heredum Poncii Monreal"/>
    <m/>
    <m/>
    <m/>
    <m/>
    <s v="Quod acquisivit a fratre Petro de Casalibus "/>
  </r>
  <r>
    <n v="1342"/>
    <s v="Johannes"/>
    <x v="68"/>
    <s v="H"/>
    <n v="1343"/>
    <s v="Décembre"/>
    <n v="12"/>
    <x v="4"/>
    <m/>
    <m/>
    <s v="Prato domus de la Suachas"/>
    <s v="Ortis Brunelorum"/>
    <m/>
    <m/>
    <m/>
    <m/>
    <s v="Quod abuit a dicta La Jalaa"/>
  </r>
  <r>
    <n v="1342"/>
    <s v="Johannes"/>
    <x v="68"/>
    <s v="H"/>
    <n v="1343"/>
    <s v="Décembre"/>
    <n v="12"/>
    <x v="4"/>
    <m/>
    <m/>
    <s v="Prato heredum Michaelis Salvaynh"/>
    <s v="Terra cartina domus Devesseti"/>
    <m/>
    <m/>
    <m/>
    <m/>
    <s v="Quod aquisivit a Johanne Panleti"/>
  </r>
  <r>
    <n v="1342"/>
    <s v="Johannes"/>
    <x v="68"/>
    <s v="H"/>
    <n v="1343"/>
    <s v="Décembre"/>
    <n v="12"/>
    <x v="4"/>
    <m/>
    <m/>
    <s v="Prato de Donezo domini preceptoris"/>
    <s v="Prato Gregorii Ferrandi"/>
    <m/>
    <m/>
    <m/>
    <m/>
    <s v="Quod aquisivit a vocata Martina"/>
  </r>
  <r>
    <n v="1342"/>
    <s v="Johannes"/>
    <x v="68"/>
    <s v="H"/>
    <n v="1343"/>
    <s v="Décembre"/>
    <n v="12"/>
    <x v="97"/>
    <s v="Las Putetas"/>
    <m/>
    <m/>
    <m/>
    <m/>
    <m/>
    <m/>
    <m/>
    <m/>
  </r>
  <r>
    <n v="1342"/>
    <s v="Johannes"/>
    <x v="68"/>
    <s v="H"/>
    <n v="1343"/>
    <s v="Décembre"/>
    <n v="12"/>
    <x v="7"/>
    <m/>
    <s v="Sitam apud Villam Novam Devesseti"/>
    <m/>
    <m/>
    <m/>
    <m/>
    <m/>
    <m/>
    <s v="Quam habuit a Blancheta Morala et a Pelaprat condam"/>
  </r>
  <r>
    <n v="1342"/>
    <s v="Johannes"/>
    <x v="68"/>
    <s v="H"/>
    <n v="1343"/>
    <s v="Décembre"/>
    <n v="12"/>
    <x v="2"/>
    <m/>
    <m/>
    <s v="Domum suum"/>
    <s v="Domo Poncii Monreal condam"/>
    <s v="Carreria publica de Crostello"/>
    <s v="Orto suo Johannes Roerii de Ruppe habuit a uxoris Petri de Croso condam"/>
    <m/>
    <m/>
    <m/>
  </r>
  <r>
    <n v="1452"/>
    <s v="Petroilla"/>
    <x v="68"/>
    <s v="H"/>
    <n v="1342"/>
    <s v="Février"/>
    <s v="?"/>
    <x v="7"/>
    <m/>
    <s v="Sitam apud La Rocha"/>
    <s v="Orto Petri de Ruppe"/>
    <m/>
    <m/>
    <m/>
    <m/>
    <m/>
    <m/>
  </r>
  <r>
    <n v="1452"/>
    <s v="Petroilla"/>
    <x v="68"/>
    <s v="H"/>
    <n v="1342"/>
    <s v="Février"/>
    <s v="?"/>
    <x v="2"/>
    <m/>
    <m/>
    <s v="Orto Armandeti de Ruppe"/>
    <m/>
    <m/>
    <m/>
    <m/>
    <m/>
    <m/>
  </r>
  <r>
    <n v="1452"/>
    <s v="Petroilla"/>
    <x v="68"/>
    <s v="H"/>
    <n v="1342"/>
    <s v="Février"/>
    <s v="?"/>
    <x v="2"/>
    <s v="Del Chastaneir"/>
    <m/>
    <m/>
    <m/>
    <m/>
    <m/>
    <m/>
    <m/>
    <m/>
  </r>
  <r>
    <n v="1452"/>
    <s v="Petroilla"/>
    <x v="68"/>
    <s v="H"/>
    <n v="1342"/>
    <s v="Février"/>
    <s v="?"/>
    <x v="40"/>
    <s v="De Prato Rotondo"/>
    <m/>
    <m/>
    <m/>
    <m/>
    <m/>
    <m/>
    <m/>
    <m/>
  </r>
  <r>
    <n v="1452"/>
    <s v="Petroilla"/>
    <x v="68"/>
    <s v="H"/>
    <n v="1342"/>
    <s v="Février"/>
    <s v="?"/>
    <x v="3"/>
    <s v="De Maltalha"/>
    <m/>
    <m/>
    <m/>
    <m/>
    <m/>
    <m/>
    <m/>
    <m/>
  </r>
  <r>
    <n v="1452"/>
    <s v="Petroilla"/>
    <x v="68"/>
    <s v="H"/>
    <n v="1342"/>
    <s v="Février"/>
    <s v="?"/>
    <x v="3"/>
    <s v="De Fontaynas"/>
    <m/>
    <m/>
    <m/>
    <m/>
    <m/>
    <m/>
    <m/>
    <m/>
  </r>
  <r>
    <n v="1452"/>
    <s v="Petroilla"/>
    <x v="68"/>
    <s v="H"/>
    <n v="1342"/>
    <s v="Février"/>
    <s v="?"/>
    <x v="3"/>
    <s v="De Sanha Serzeir"/>
    <m/>
    <m/>
    <m/>
    <m/>
    <m/>
    <m/>
    <m/>
    <m/>
  </r>
  <r>
    <n v="1452"/>
    <s v="Petroilla"/>
    <x v="68"/>
    <s v="H"/>
    <n v="1342"/>
    <s v="Février"/>
    <s v="?"/>
    <x v="3"/>
    <s v="De Las Charals"/>
    <m/>
    <m/>
    <m/>
    <m/>
    <m/>
    <m/>
    <m/>
    <m/>
  </r>
  <r>
    <n v="1452"/>
    <s v="Petroilla"/>
    <x v="68"/>
    <s v="H"/>
    <n v="1342"/>
    <s v="Février"/>
    <s v="?"/>
    <x v="4"/>
    <s v="D'Armandes"/>
    <m/>
    <m/>
    <m/>
    <m/>
    <m/>
    <m/>
    <m/>
    <m/>
  </r>
  <r>
    <n v="1452"/>
    <s v="Petroilla"/>
    <x v="68"/>
    <s v="H"/>
    <n v="1342"/>
    <s v="Février"/>
    <s v="?"/>
    <x v="4"/>
    <s v="De Pineto"/>
    <m/>
    <m/>
    <m/>
    <m/>
    <m/>
    <m/>
    <m/>
    <m/>
  </r>
  <r>
    <n v="1452"/>
    <s v="Petroilla"/>
    <x v="68"/>
    <s v="H"/>
    <n v="1342"/>
    <s v="Février"/>
    <s v="?"/>
    <x v="4"/>
    <s v="De Fontaynas"/>
    <m/>
    <m/>
    <m/>
    <m/>
    <m/>
    <m/>
    <m/>
    <m/>
  </r>
  <r>
    <n v="1452"/>
    <s v="Petroilla"/>
    <x v="68"/>
    <s v="H"/>
    <n v="1342"/>
    <s v="Février"/>
    <s v="?"/>
    <x v="108"/>
    <s v="Solgos"/>
    <m/>
    <m/>
    <m/>
    <m/>
    <m/>
    <m/>
    <m/>
    <m/>
  </r>
  <r>
    <n v="1452"/>
    <s v="Petroilla"/>
    <x v="68"/>
    <s v="H"/>
    <n v="1342"/>
    <s v="Février"/>
    <s v="?"/>
    <x v="4"/>
    <s v="De la Font"/>
    <m/>
    <m/>
    <m/>
    <m/>
    <m/>
    <m/>
    <m/>
    <m/>
  </r>
  <r>
    <n v="1452"/>
    <s v="Petroilla"/>
    <x v="68"/>
    <s v="H"/>
    <n v="1342"/>
    <s v="Février"/>
    <s v="?"/>
    <x v="109"/>
    <s v="La Mola"/>
    <m/>
    <m/>
    <m/>
    <m/>
    <m/>
    <m/>
    <m/>
    <s v="Quod petie est de perindiviso cum domino de Sollemniaco quo habuit a domina de Bonsolio condam et catri Devesseti"/>
  </r>
  <r>
    <n v="1452"/>
    <s v="Petroilla"/>
    <x v="68"/>
    <s v="H"/>
    <n v="1342"/>
    <s v="Février"/>
    <s v="?"/>
    <x v="109"/>
    <s v="La Mola"/>
    <m/>
    <m/>
    <m/>
    <m/>
    <m/>
    <m/>
    <m/>
    <s v="Quod petie est de perindiviso cum domino de Sollemniaco quo habuit a domina de Bonsolio condam et catri Devesseti"/>
  </r>
  <r>
    <n v="1452"/>
    <s v="Petroilla"/>
    <x v="68"/>
    <s v="H"/>
    <n v="1342"/>
    <s v="Février"/>
    <s v="?"/>
    <x v="109"/>
    <s v="De Petra de Firno"/>
    <m/>
    <m/>
    <m/>
    <m/>
    <m/>
    <m/>
    <m/>
    <s v="Quod petie est de perindiviso cum domino de Sollemniaco quo habuit a domina de Bonsolio condam et catri Devesseti"/>
  </r>
  <r>
    <n v="1452"/>
    <s v="Petroilla"/>
    <x v="68"/>
    <s v="H"/>
    <n v="1342"/>
    <s v="Février"/>
    <s v="?"/>
    <x v="109"/>
    <s v="De Petra de Firno"/>
    <m/>
    <m/>
    <m/>
    <m/>
    <m/>
    <m/>
    <m/>
    <s v="Quod petie est de perindiviso cum domino de Sollemniaco quo habuit a domina de Bonsolio condam et catri Devesseti"/>
  </r>
  <r>
    <n v="1452"/>
    <s v="Petroilla"/>
    <x v="68"/>
    <s v="H"/>
    <n v="1342"/>
    <s v="Février"/>
    <s v="?"/>
    <x v="109"/>
    <s v="De Moli Neilh"/>
    <m/>
    <m/>
    <m/>
    <m/>
    <m/>
    <m/>
    <m/>
    <s v="Quod petie est de perindiviso cum domino de Sollemniaco quo habuit a domina de Bonsolio condam et catri Devesseti"/>
  </r>
  <r>
    <n v="1452"/>
    <s v="Petroilla"/>
    <x v="68"/>
    <s v="H"/>
    <n v="1342"/>
    <s v="Février"/>
    <s v="?"/>
    <x v="109"/>
    <s v="De Moli Neilh"/>
    <m/>
    <m/>
    <m/>
    <m/>
    <m/>
    <m/>
    <m/>
    <s v="Quod petie est de perindiviso cum domino de Sollemniaco quo habuit a domina de Bonsolio condam et catri Devesseti"/>
  </r>
  <r>
    <n v="1452"/>
    <s v="Petroilla"/>
    <x v="68"/>
    <s v="H"/>
    <n v="1342"/>
    <s v="Février"/>
    <s v="?"/>
    <x v="109"/>
    <s v="Dens Ubacs"/>
    <m/>
    <m/>
    <m/>
    <m/>
    <m/>
    <m/>
    <m/>
    <s v="Quod petie est de perindiviso cum domino de Sollemniaco quo habuit a domina de Bonsolio condam et catri Devesseti"/>
  </r>
  <r>
    <n v="1452"/>
    <s v="Petroilla"/>
    <x v="68"/>
    <s v="H"/>
    <n v="1342"/>
    <s v="Février"/>
    <s v="?"/>
    <x v="109"/>
    <s v="Dens Ubacs"/>
    <m/>
    <m/>
    <m/>
    <m/>
    <m/>
    <m/>
    <m/>
    <s v="Quod petie est de perindiviso cum domino de Sollemniaco quo habuit a domina de Bonsolio condam et catri Devesseti"/>
  </r>
  <r>
    <n v="1452"/>
    <s v="Petroilla"/>
    <x v="68"/>
    <s v="H"/>
    <n v="1342"/>
    <s v="Février"/>
    <s v="?"/>
    <x v="94"/>
    <m/>
    <m/>
    <m/>
    <m/>
    <m/>
    <m/>
    <m/>
    <m/>
    <m/>
  </r>
  <r>
    <n v="1452"/>
    <s v="Petroilla"/>
    <x v="68"/>
    <s v="H"/>
    <n v="1342"/>
    <s v="Février"/>
    <s v="?"/>
    <x v="110"/>
    <s v="Delle de Ruppe"/>
    <m/>
    <m/>
    <m/>
    <m/>
    <m/>
    <m/>
    <m/>
    <m/>
  </r>
  <r>
    <n v="1452"/>
    <s v="Petroilla"/>
    <x v="68"/>
    <s v="H"/>
    <n v="1342"/>
    <s v="Février"/>
    <s v="?"/>
    <x v="6"/>
    <m/>
    <s v="Loco et tenemento de Ruppe"/>
    <s v="Territorio de Rilhac"/>
    <s v="Rivo d'Arnaudes"/>
    <s v="Nemorum del Sape"/>
    <m/>
    <m/>
    <m/>
    <m/>
  </r>
  <r>
    <n v="1452"/>
    <s v="Petroilla"/>
    <x v="68"/>
    <s v="H"/>
    <n v="1342"/>
    <s v="Février"/>
    <s v="?"/>
    <x v="111"/>
    <m/>
    <s v="Territorio de Rochabona"/>
    <s v="Vinea domini de Ruppe Bone"/>
    <s v="Vinea domini de Ruppe Bone"/>
    <s v="Vinea domini de Ruppe Bone"/>
    <m/>
    <m/>
    <m/>
    <m/>
  </r>
  <r>
    <n v="1452"/>
    <s v="Petroilla"/>
    <x v="68"/>
    <s v="H"/>
    <n v="1342"/>
    <s v="Février"/>
    <s v="?"/>
    <x v="112"/>
    <m/>
    <s v="Vinea Petri del Coynh de Ruppe Bona"/>
    <m/>
    <m/>
    <m/>
    <m/>
    <m/>
    <m/>
    <m/>
  </r>
  <r>
    <n v="1452"/>
    <s v="Petroilla"/>
    <x v="68"/>
    <s v="H"/>
    <n v="1342"/>
    <s v="Février"/>
    <s v="?"/>
    <x v="109"/>
    <s v="?"/>
    <m/>
    <m/>
    <m/>
    <m/>
    <m/>
    <m/>
    <m/>
    <m/>
  </r>
  <r>
    <n v="1452"/>
    <s v="Petroilla"/>
    <x v="68"/>
    <s v="H"/>
    <n v="1342"/>
    <s v="Février"/>
    <s v="?"/>
    <x v="109"/>
    <s v="De la Via del Moli"/>
    <m/>
    <m/>
    <m/>
    <m/>
    <m/>
    <m/>
    <m/>
    <m/>
  </r>
  <r>
    <n v="1452"/>
    <s v="Petroilla"/>
    <x v="68"/>
    <s v="H"/>
    <n v="1342"/>
    <s v="Février"/>
    <s v="?"/>
    <x v="109"/>
    <s v="De la Via del Moli"/>
    <m/>
    <m/>
    <m/>
    <m/>
    <m/>
    <m/>
    <m/>
    <m/>
  </r>
  <r>
    <n v="1452"/>
    <s v="Petroilla"/>
    <x v="68"/>
    <s v="H"/>
    <n v="1342"/>
    <s v="Février"/>
    <s v="?"/>
    <x v="113"/>
    <m/>
    <m/>
    <m/>
    <m/>
    <m/>
    <m/>
    <m/>
    <m/>
    <m/>
  </r>
  <r>
    <n v="1452"/>
    <s v="Petroilla"/>
    <x v="68"/>
    <s v="H"/>
    <n v="1342"/>
    <s v="Février"/>
    <s v="?"/>
    <x v="23"/>
    <m/>
    <s v="Sita in territorio de Ruppe"/>
    <m/>
    <m/>
    <m/>
    <m/>
    <m/>
    <m/>
    <m/>
  </r>
  <r>
    <n v="1452"/>
    <s v="Petroilla"/>
    <x v="68"/>
    <s v="H"/>
    <n v="1342"/>
    <s v="Février"/>
    <s v="?"/>
    <x v="12"/>
    <s v="?"/>
    <m/>
    <m/>
    <m/>
    <m/>
    <m/>
    <m/>
    <m/>
    <m/>
  </r>
  <r>
    <n v="1471"/>
    <s v="Durandus et Vitalis"/>
    <x v="68"/>
    <s v="H"/>
    <n v="1342"/>
    <s v="Février"/>
    <s v="?"/>
    <x v="8"/>
    <s v="Las Faylas"/>
    <m/>
    <m/>
    <m/>
    <m/>
    <m/>
    <m/>
    <m/>
    <m/>
  </r>
  <r>
    <n v="1471"/>
    <s v="Durandus et Vitalis"/>
    <x v="68"/>
    <s v="H"/>
    <n v="1342"/>
    <s v="Février"/>
    <s v="?"/>
    <x v="8"/>
    <s v="Comenialart"/>
    <m/>
    <m/>
    <m/>
    <m/>
    <m/>
    <m/>
    <m/>
    <m/>
  </r>
  <r>
    <n v="1471"/>
    <s v="Durandus et Vitalis"/>
    <x v="68"/>
    <s v="H"/>
    <n v="1342"/>
    <s v="Février"/>
    <s v="?"/>
    <x v="8"/>
    <s v="Del Pontet"/>
    <m/>
    <m/>
    <m/>
    <m/>
    <m/>
    <m/>
    <m/>
    <m/>
  </r>
  <r>
    <n v="1471"/>
    <s v="Durandus et Vitalis"/>
    <x v="68"/>
    <s v="H"/>
    <n v="1342"/>
    <s v="Février"/>
    <s v="?"/>
    <x v="8"/>
    <s v="La Ribassa"/>
    <s v="Versus molendinum"/>
    <m/>
    <m/>
    <m/>
    <m/>
    <m/>
    <m/>
    <m/>
  </r>
  <r>
    <n v="1471"/>
    <s v="Durandus et Vitalis"/>
    <x v="68"/>
    <s v="H"/>
    <n v="1342"/>
    <s v="Février"/>
    <s v="?"/>
    <x v="3"/>
    <s v="De Ruppe Forte"/>
    <m/>
    <m/>
    <m/>
    <m/>
    <m/>
    <m/>
    <m/>
    <m/>
  </r>
  <r>
    <n v="1471"/>
    <s v="Durandus et Vitalis"/>
    <x v="68"/>
    <s v="H"/>
    <n v="1342"/>
    <s v="Février"/>
    <s v="?"/>
    <x v="33"/>
    <s v="De Ruppe Forte"/>
    <m/>
    <m/>
    <m/>
    <m/>
    <m/>
    <m/>
    <m/>
    <m/>
  </r>
  <r>
    <n v="1471"/>
    <s v="Durandus et Vitalis"/>
    <x v="68"/>
    <s v="H"/>
    <n v="1342"/>
    <s v="Février"/>
    <s v="?"/>
    <x v="3"/>
    <m/>
    <s v="De Versus lo Sanzer"/>
    <m/>
    <m/>
    <m/>
    <m/>
    <m/>
    <m/>
    <m/>
  </r>
  <r>
    <n v="1471"/>
    <s v="Durandus et Vitalis"/>
    <x v="68"/>
    <s v="H"/>
    <n v="1342"/>
    <s v="Février"/>
    <s v="?"/>
    <x v="3"/>
    <s v="Del Pereir"/>
    <m/>
    <m/>
    <m/>
    <m/>
    <m/>
    <m/>
    <m/>
    <m/>
  </r>
  <r>
    <n v="1471"/>
    <s v="Durandus et Vitalis"/>
    <x v="68"/>
    <s v="H"/>
    <n v="1342"/>
    <s v="Février"/>
    <s v="?"/>
    <x v="3"/>
    <s v="Dens Ubacz"/>
    <m/>
    <m/>
    <m/>
    <m/>
    <m/>
    <m/>
    <m/>
    <m/>
  </r>
  <r>
    <n v="1471"/>
    <s v="Durandus et Vitalis"/>
    <x v="68"/>
    <s v="H"/>
    <n v="1342"/>
    <s v="Février"/>
    <s v="?"/>
    <x v="3"/>
    <s v="De Las Charals"/>
    <m/>
    <m/>
    <m/>
    <m/>
    <m/>
    <m/>
    <m/>
    <m/>
  </r>
  <r>
    <n v="1471"/>
    <s v="Durandus et Vitalis"/>
    <x v="68"/>
    <s v="H"/>
    <n v="1342"/>
    <s v="Février"/>
    <s v="?"/>
    <x v="3"/>
    <s v="Del San"/>
    <m/>
    <m/>
    <m/>
    <m/>
    <m/>
    <m/>
    <m/>
    <m/>
  </r>
  <r>
    <n v="1471"/>
    <s v="Durandus et Vitalis"/>
    <x v="68"/>
    <s v="H"/>
    <n v="1342"/>
    <s v="Février"/>
    <s v="?"/>
    <x v="3"/>
    <s v="De Las Sanholas"/>
    <m/>
    <m/>
    <m/>
    <m/>
    <m/>
    <m/>
    <m/>
    <m/>
  </r>
  <r>
    <n v="1471"/>
    <s v="Durandus et Vitalis"/>
    <x v="68"/>
    <s v="H"/>
    <n v="1342"/>
    <s v="Février"/>
    <s v="?"/>
    <x v="3"/>
    <m/>
    <s v="Ante domum de la Rohanina"/>
    <m/>
    <m/>
    <m/>
    <m/>
    <m/>
    <m/>
    <m/>
  </r>
  <r>
    <n v="1471"/>
    <s v="Durandus et Vitalis"/>
    <x v="68"/>
    <s v="H"/>
    <n v="1342"/>
    <s v="Février"/>
    <s v="?"/>
    <x v="2"/>
    <s v="Del Brutz"/>
    <m/>
    <m/>
    <m/>
    <m/>
    <m/>
    <m/>
    <m/>
    <m/>
  </r>
  <r>
    <n v="1471"/>
    <s v="Durandus et Vitalis"/>
    <x v="68"/>
    <s v="H"/>
    <n v="1342"/>
    <s v="Février"/>
    <s v="?"/>
    <x v="2"/>
    <m/>
    <s v="Recto ortum Del Rey"/>
    <m/>
    <m/>
    <m/>
    <m/>
    <m/>
    <m/>
    <m/>
  </r>
  <r>
    <n v="1471"/>
    <s v="Durandus et Vitalis"/>
    <x v="68"/>
    <s v="H"/>
    <n v="1342"/>
    <s v="Février"/>
    <s v="?"/>
    <x v="2"/>
    <s v="De Petra de Firno"/>
    <m/>
    <m/>
    <m/>
    <m/>
    <m/>
    <m/>
    <m/>
    <m/>
  </r>
  <r>
    <n v="1471"/>
    <s v="Durandus et Vitalis"/>
    <x v="68"/>
    <s v="H"/>
    <n v="1342"/>
    <s v="Février"/>
    <s v="?"/>
    <x v="3"/>
    <s v="De Champras"/>
    <m/>
    <m/>
    <m/>
    <m/>
    <m/>
    <m/>
    <m/>
    <m/>
  </r>
  <r>
    <n v="1471"/>
    <s v="Durandus et Vitalis"/>
    <x v="68"/>
    <s v="H"/>
    <n v="1342"/>
    <s v="Février"/>
    <s v="?"/>
    <x v="3"/>
    <s v="De La Nanta"/>
    <s v="Recto ortum Del Rey"/>
    <m/>
    <m/>
    <m/>
    <m/>
    <m/>
    <m/>
    <m/>
  </r>
  <r>
    <n v="1471"/>
    <s v="Durandus et Vitalis"/>
    <x v="68"/>
    <s v="H"/>
    <n v="1342"/>
    <s v="Février"/>
    <s v="?"/>
    <x v="3"/>
    <s v="Vaz de Prato Rotondo"/>
    <m/>
    <m/>
    <m/>
    <m/>
    <m/>
    <m/>
    <m/>
    <m/>
  </r>
  <r>
    <n v="1471"/>
    <s v="Durandus et Vitalis"/>
    <x v="68"/>
    <s v="H"/>
    <n v="1342"/>
    <s v="Février"/>
    <s v="?"/>
    <x v="40"/>
    <s v="De Prato Rotondo"/>
    <m/>
    <m/>
    <m/>
    <m/>
    <m/>
    <m/>
    <m/>
    <m/>
  </r>
  <r>
    <n v="1471"/>
    <s v="Durandus et Vitalis"/>
    <x v="68"/>
    <s v="H"/>
    <n v="1342"/>
    <s v="Février"/>
    <s v="?"/>
    <x v="114"/>
    <s v="De Sanha Salet"/>
    <m/>
    <m/>
    <m/>
    <m/>
    <m/>
    <m/>
    <m/>
    <m/>
  </r>
  <r>
    <n v="1471"/>
    <s v="Durandus et Vitalis"/>
    <x v="68"/>
    <s v="H"/>
    <n v="1342"/>
    <s v="Février"/>
    <s v="?"/>
    <x v="115"/>
    <s v="De Ruppe"/>
    <m/>
    <m/>
    <m/>
    <m/>
    <m/>
    <m/>
    <m/>
    <m/>
  </r>
  <r>
    <n v="1471"/>
    <s v="Durandus et Vitalis"/>
    <x v="68"/>
    <s v="H"/>
    <n v="1342"/>
    <s v="Février"/>
    <s v="?"/>
    <x v="33"/>
    <s v="De Rocha Fort"/>
    <m/>
    <m/>
    <m/>
    <m/>
    <m/>
    <m/>
    <m/>
    <m/>
  </r>
  <r>
    <n v="1471"/>
    <s v="Durandus et Vitalis"/>
    <x v="68"/>
    <s v="H"/>
    <n v="1342"/>
    <s v="Février"/>
    <s v="?"/>
    <x v="4"/>
    <s v="De la Suerneas"/>
    <m/>
    <m/>
    <m/>
    <m/>
    <m/>
    <m/>
    <m/>
    <m/>
  </r>
  <r>
    <n v="1471"/>
    <s v="Durandus et Vitalis"/>
    <x v="68"/>
    <s v="H"/>
    <n v="1342"/>
    <s v="Février"/>
    <s v="?"/>
    <x v="4"/>
    <s v="De Cumba Fola"/>
    <m/>
    <m/>
    <m/>
    <m/>
    <m/>
    <m/>
    <m/>
    <m/>
  </r>
  <r>
    <n v="1471"/>
    <s v="Durandus et Vitalis"/>
    <x v="68"/>
    <s v="H"/>
    <n v="1342"/>
    <s v="Février"/>
    <s v="?"/>
    <x v="4"/>
    <s v="Comenialart"/>
    <m/>
    <m/>
    <m/>
    <m/>
    <m/>
    <m/>
    <m/>
    <m/>
  </r>
  <r>
    <n v="1471"/>
    <s v="Durandus et Vitalis"/>
    <x v="68"/>
    <s v="H"/>
    <n v="1342"/>
    <s v="Février"/>
    <s v="?"/>
    <x v="4"/>
    <s v="De Las Sanholas"/>
    <m/>
    <m/>
    <m/>
    <m/>
    <m/>
    <m/>
    <m/>
    <m/>
  </r>
  <r>
    <n v="1471"/>
    <s v="Durandus et Vitalis"/>
    <x v="68"/>
    <s v="H"/>
    <n v="1342"/>
    <s v="Février"/>
    <s v="?"/>
    <x v="4"/>
    <s v="De Prato Raytz"/>
    <m/>
    <m/>
    <m/>
    <m/>
    <m/>
    <m/>
    <m/>
    <m/>
  </r>
  <r>
    <n v="1471"/>
    <s v="Durandus et Vitalis"/>
    <x v="68"/>
    <s v="H"/>
    <n v="1342"/>
    <s v="Février"/>
    <s v="?"/>
    <x v="4"/>
    <s v="De Molendino"/>
    <m/>
    <m/>
    <m/>
    <m/>
    <m/>
    <m/>
    <m/>
    <m/>
  </r>
  <r>
    <n v="1471"/>
    <s v="Durandus et Vitalis"/>
    <x v="68"/>
    <s v="H"/>
    <n v="1342"/>
    <s v="Février"/>
    <s v="?"/>
    <x v="12"/>
    <s v="Ville de Ruppe"/>
    <m/>
    <m/>
    <m/>
    <m/>
    <m/>
    <m/>
    <m/>
    <m/>
  </r>
  <r>
    <n v="1471"/>
    <s v="Durandus et Vitalis"/>
    <x v="68"/>
    <s v="H"/>
    <n v="1342"/>
    <s v="Février"/>
    <s v="?"/>
    <x v="116"/>
    <s v="Ville de Ruppe"/>
    <m/>
    <m/>
    <m/>
    <m/>
    <m/>
    <m/>
    <m/>
    <m/>
  </r>
  <r>
    <n v="1471"/>
    <s v="Durandus et Vitalis"/>
    <x v="68"/>
    <s v="H"/>
    <n v="1342"/>
    <s v="Février"/>
    <s v="?"/>
    <x v="117"/>
    <s v="Ville de Ruppe"/>
    <m/>
    <m/>
    <m/>
    <m/>
    <m/>
    <m/>
    <m/>
    <m/>
  </r>
  <r>
    <n v="1471"/>
    <s v="Durandus et Vitalis"/>
    <x v="68"/>
    <s v="H"/>
    <n v="1342"/>
    <s v="Février"/>
    <s v="?"/>
    <x v="106"/>
    <s v="Ville de Ruppe"/>
    <m/>
    <m/>
    <m/>
    <m/>
    <m/>
    <m/>
    <m/>
    <m/>
  </r>
  <r>
    <n v="1471"/>
    <s v="Durandus et Vitalis"/>
    <x v="68"/>
    <s v="H"/>
    <n v="1342"/>
    <s v="Février"/>
    <s v="?"/>
    <x v="6"/>
    <m/>
    <s v="Loco et territorio de la Rocha"/>
    <s v="Territorio de Rilhac"/>
    <s v="Terra d'Arnaudes"/>
    <s v="Nemore Del Sape"/>
    <m/>
    <m/>
    <m/>
    <m/>
  </r>
  <r>
    <n v="1472"/>
    <s v="Johanneta"/>
    <x v="68"/>
    <s v="F"/>
    <n v="1342"/>
    <s v="Février"/>
    <s v="?"/>
    <x v="7"/>
    <m/>
    <s v="Sitam apud La Rocha"/>
    <m/>
    <m/>
    <m/>
    <m/>
    <m/>
    <m/>
    <m/>
  </r>
  <r>
    <n v="1472"/>
    <s v="Johanneta"/>
    <x v="68"/>
    <s v="F"/>
    <n v="1342"/>
    <s v="Février"/>
    <s v="?"/>
    <x v="3"/>
    <s v="De Leyra"/>
    <m/>
    <m/>
    <m/>
    <m/>
    <m/>
    <m/>
    <m/>
    <m/>
  </r>
  <r>
    <n v="1472"/>
    <s v="Johanneta"/>
    <x v="68"/>
    <s v="F"/>
    <n v="1342"/>
    <s v="Février"/>
    <s v="?"/>
    <x v="8"/>
    <s v="Del Brutz"/>
    <m/>
    <m/>
    <m/>
    <m/>
    <m/>
    <m/>
    <m/>
    <m/>
  </r>
  <r>
    <n v="1472"/>
    <s v="Johanneta"/>
    <x v="68"/>
    <s v="F"/>
    <n v="1342"/>
    <s v="Février"/>
    <s v="?"/>
    <x v="4"/>
    <s v="De Prato Reant"/>
    <m/>
    <m/>
    <m/>
    <m/>
    <m/>
    <m/>
    <m/>
    <m/>
  </r>
  <r>
    <n v="1472"/>
    <s v="Johanneta"/>
    <x v="68"/>
    <s v="F"/>
    <n v="1342"/>
    <s v="Février"/>
    <s v="?"/>
    <x v="3"/>
    <s v="De Salvaneschas"/>
    <m/>
    <m/>
    <m/>
    <m/>
    <m/>
    <m/>
    <m/>
    <m/>
  </r>
  <r>
    <n v="1472"/>
    <s v="Johanneta"/>
    <x v="68"/>
    <s v="F"/>
    <n v="1342"/>
    <s v="Février"/>
    <s v="?"/>
    <x v="3"/>
    <m/>
    <s v="Versus Salvanessas"/>
    <m/>
    <m/>
    <m/>
    <m/>
    <m/>
    <m/>
    <m/>
  </r>
  <r>
    <n v="1472"/>
    <s v="Johanneta"/>
    <x v="68"/>
    <s v="F"/>
    <n v="1342"/>
    <s v="Février"/>
    <s v="?"/>
    <x v="4"/>
    <s v="Del Moli"/>
    <m/>
    <m/>
    <m/>
    <m/>
    <m/>
    <m/>
    <m/>
    <m/>
  </r>
  <r>
    <n v="1472"/>
    <s v="Johanneta"/>
    <x v="68"/>
    <s v="F"/>
    <n v="1342"/>
    <s v="Février"/>
    <s v="?"/>
    <x v="27"/>
    <s v="De Las Faysas"/>
    <m/>
    <m/>
    <m/>
    <m/>
    <m/>
    <m/>
    <m/>
    <m/>
  </r>
  <r>
    <n v="1472"/>
    <s v="Johanneta"/>
    <x v="68"/>
    <s v="F"/>
    <n v="1342"/>
    <s v="Février"/>
    <s v="?"/>
    <x v="8"/>
    <s v="Comenialart"/>
    <m/>
    <m/>
    <m/>
    <m/>
    <m/>
    <m/>
    <m/>
    <m/>
  </r>
  <r>
    <n v="1472"/>
    <s v="Johanneta"/>
    <x v="68"/>
    <s v="F"/>
    <n v="1342"/>
    <s v="Février"/>
    <s v="?"/>
    <x v="3"/>
    <s v="Las Sanholas"/>
    <m/>
    <m/>
    <m/>
    <m/>
    <m/>
    <m/>
    <m/>
    <m/>
  </r>
  <r>
    <n v="1472"/>
    <s v="Johanneta"/>
    <x v="68"/>
    <s v="F"/>
    <n v="1342"/>
    <s v="Février"/>
    <s v="?"/>
    <x v="8"/>
    <s v="Sanha Lacgier"/>
    <m/>
    <m/>
    <m/>
    <m/>
    <m/>
    <m/>
    <m/>
    <m/>
  </r>
  <r>
    <n v="1472"/>
    <s v="Johanneta"/>
    <x v="68"/>
    <s v="F"/>
    <n v="1342"/>
    <s v="Février"/>
    <s v="?"/>
    <x v="33"/>
    <s v="Tartarut"/>
    <m/>
    <m/>
    <m/>
    <m/>
    <m/>
    <m/>
    <m/>
    <m/>
  </r>
  <r>
    <n v="1472"/>
    <s v="Johanneta"/>
    <x v="68"/>
    <s v="F"/>
    <n v="1342"/>
    <s v="Février"/>
    <s v="?"/>
    <x v="33"/>
    <s v="La Rocha Cuba sive de La Blacha"/>
    <m/>
    <m/>
    <m/>
    <m/>
    <m/>
    <m/>
    <m/>
    <m/>
  </r>
  <r>
    <n v="1472"/>
    <s v="Johanneta"/>
    <x v="68"/>
    <s v="F"/>
    <n v="1342"/>
    <s v="Février"/>
    <s v="?"/>
    <x v="4"/>
    <s v="Sanha Laurens"/>
    <m/>
    <m/>
    <m/>
    <m/>
    <m/>
    <m/>
    <m/>
    <m/>
  </r>
  <r>
    <n v="1472"/>
    <s v="Johanneta"/>
    <x v="68"/>
    <s v="F"/>
    <n v="1342"/>
    <s v="Février"/>
    <s v="?"/>
    <x v="118"/>
    <s v="Las Sanholas"/>
    <m/>
    <m/>
    <m/>
    <m/>
    <m/>
    <m/>
    <m/>
    <m/>
  </r>
  <r>
    <n v="1472"/>
    <s v="Johanneta"/>
    <x v="68"/>
    <s v="F"/>
    <n v="1342"/>
    <s v="Février"/>
    <s v="?"/>
    <x v="76"/>
    <s v="Patilium de Ruppe"/>
    <m/>
    <m/>
    <m/>
    <m/>
    <m/>
    <m/>
    <m/>
    <m/>
  </r>
  <r>
    <n v="1482"/>
    <s v="Armandus"/>
    <x v="68"/>
    <s v="H"/>
    <n v="1342"/>
    <s v="Février"/>
    <s v="?"/>
    <x v="1"/>
    <m/>
    <s v="Sitas apud La Rocha"/>
    <s v="Orto Armandi Raspant vocata dal Fangriats"/>
    <m/>
    <m/>
    <m/>
    <m/>
    <m/>
    <m/>
  </r>
  <r>
    <n v="1482"/>
    <s v="Armandus"/>
    <x v="68"/>
    <s v="H"/>
    <n v="1342"/>
    <s v="Février"/>
    <s v="?"/>
    <x v="29"/>
    <m/>
    <m/>
    <s v="Orto Armandi Raspant vocata dal Fangriats"/>
    <m/>
    <m/>
    <m/>
    <m/>
    <m/>
    <m/>
  </r>
  <r>
    <n v="1482"/>
    <s v="Armandus"/>
    <x v="68"/>
    <s v="H"/>
    <n v="1342"/>
    <s v="Février"/>
    <s v="?"/>
    <x v="68"/>
    <m/>
    <m/>
    <s v="Orto Armandi Raspant vocata dal Fangriats"/>
    <m/>
    <m/>
    <m/>
    <m/>
    <m/>
    <m/>
  </r>
  <r>
    <n v="1482"/>
    <s v="Armandus"/>
    <x v="68"/>
    <s v="H"/>
    <n v="1342"/>
    <s v="Février"/>
    <s v="?"/>
    <x v="3"/>
    <s v="De Sanga Farzier"/>
    <m/>
    <s v="Terra Petri Dos"/>
    <s v="Terra Guillermi Rocheta domicelli"/>
    <m/>
    <m/>
    <m/>
    <m/>
    <m/>
  </r>
  <r>
    <n v="1482"/>
    <s v="Armandus"/>
    <x v="68"/>
    <s v="H"/>
    <n v="1342"/>
    <s v="Février"/>
    <s v="?"/>
    <x v="33"/>
    <s v="De Finergos"/>
    <m/>
    <s v="Nemore Michaelis de Las Chalaias et Petri Mola"/>
    <m/>
    <m/>
    <m/>
    <m/>
    <m/>
    <m/>
  </r>
  <r>
    <n v="1482"/>
    <s v="Armandus"/>
    <x v="68"/>
    <s v="H"/>
    <n v="1342"/>
    <s v="Février"/>
    <s v="?"/>
    <x v="3"/>
    <s v="Comemialart"/>
    <m/>
    <s v="Pratis Mathei Dundeie condam"/>
    <s v="Petia Petronile uxoris Guillermolis de Bertos"/>
    <m/>
    <m/>
    <m/>
    <m/>
    <m/>
  </r>
  <r>
    <n v="1482"/>
    <s v="Armandus"/>
    <x v="68"/>
    <s v="H"/>
    <n v="1342"/>
    <s v="Février"/>
    <s v="?"/>
    <x v="3"/>
    <s v="De Prato Reont"/>
    <m/>
    <s v="Itinere quo itur de Chabons versus Sanctam Agrippavium"/>
    <s v="Petia Petronille uxoris Guillermi de Bertos"/>
    <m/>
    <m/>
    <m/>
    <m/>
    <m/>
  </r>
  <r>
    <n v="1482"/>
    <s v="Armandus"/>
    <x v="68"/>
    <s v="H"/>
    <n v="1342"/>
    <s v="Février"/>
    <s v="?"/>
    <x v="68"/>
    <s v="Del Brus"/>
    <m/>
    <s v="Petia Armandi Raspant"/>
    <s v="Carreria qua itur de Ruppe versus Fagum"/>
    <m/>
    <m/>
    <m/>
    <m/>
    <m/>
  </r>
  <r>
    <n v="1482"/>
    <s v="Armandus"/>
    <x v="68"/>
    <s v="H"/>
    <n v="1342"/>
    <s v="Février"/>
    <s v="?"/>
    <x v="40"/>
    <s v="Sanha Salet"/>
    <m/>
    <s v="Carreria qua itur de Ruppe versus La Chalin"/>
    <s v="Garayto heredum Arnaudi"/>
    <m/>
    <m/>
    <m/>
    <m/>
    <m/>
  </r>
  <r>
    <n v="1482"/>
    <s v="Armandus"/>
    <x v="68"/>
    <s v="H"/>
    <n v="1342"/>
    <s v="Février"/>
    <s v="?"/>
    <x v="40"/>
    <s v="Facgo Una"/>
    <m/>
    <s v="Garaito de Rilhac"/>
    <s v="Terra Guillermi de Croso"/>
    <m/>
    <m/>
    <m/>
    <m/>
    <s v="Cum hoc quo fuit aquisitum a Bernardo de Chananhac"/>
  </r>
  <r>
    <n v="1482"/>
    <s v="Armandus"/>
    <x v="68"/>
    <s v="H"/>
    <n v="1342"/>
    <s v="Février"/>
    <s v="?"/>
    <x v="40"/>
    <m/>
    <s v="Fontaynas et de Las Charals et de Maltalha"/>
    <s v="Petia Dens Blayinas"/>
    <s v="Petia Dens Verilha"/>
    <m/>
    <m/>
    <m/>
    <m/>
    <m/>
  </r>
  <r>
    <n v="1482"/>
    <s v="Armandus"/>
    <x v="68"/>
    <s v="H"/>
    <n v="1342"/>
    <s v="Février"/>
    <s v="?"/>
    <x v="4"/>
    <s v="Sanha de la Cela"/>
    <m/>
    <s v="Initenere quo itur de Truchet versus Sanctum Agrippavium"/>
    <m/>
    <m/>
    <m/>
    <m/>
    <m/>
    <m/>
  </r>
  <r>
    <n v="1482"/>
    <s v="Armandus"/>
    <x v="68"/>
    <s v="H"/>
    <n v="1342"/>
    <s v="Février"/>
    <s v="?"/>
    <x v="4"/>
    <s v="De Comba Fola"/>
    <m/>
    <s v="Prato Dens Verihas"/>
    <s v="Pratum de Ponteto quod habui a Johanne de Rilhac"/>
    <m/>
    <m/>
    <m/>
    <m/>
    <m/>
  </r>
  <r>
    <n v="1482"/>
    <s v="Armandus"/>
    <x v="68"/>
    <s v="H"/>
    <n v="1342"/>
    <s v="Février"/>
    <s v="?"/>
    <x v="4"/>
    <s v="Fonte Cuberta"/>
    <m/>
    <s v="Prato Johannis de Rilhac"/>
    <m/>
    <m/>
    <m/>
    <m/>
    <m/>
    <m/>
  </r>
  <r>
    <n v="1482"/>
    <s v="Armandus"/>
    <x v="68"/>
    <s v="H"/>
    <n v="1342"/>
    <s v="Février"/>
    <s v="?"/>
    <x v="4"/>
    <s v="Del Vuntz"/>
    <m/>
    <s v="Calma comis Ville"/>
    <m/>
    <m/>
    <m/>
    <m/>
    <m/>
    <m/>
  </r>
  <r>
    <n v="1482"/>
    <s v="Armandus"/>
    <x v="68"/>
    <s v="H"/>
    <n v="1342"/>
    <s v="Février"/>
    <s v="?"/>
    <x v="4"/>
    <s v="Pineto"/>
    <m/>
    <s v="Prato Armandonis Raspant"/>
    <m/>
    <m/>
    <m/>
    <m/>
    <m/>
    <m/>
  </r>
  <r>
    <n v="1482"/>
    <s v="Armandus"/>
    <x v="68"/>
    <s v="H"/>
    <n v="1342"/>
    <s v="Février"/>
    <s v="?"/>
    <x v="4"/>
    <s v="Soteria"/>
    <m/>
    <s v="Prato Armandi de la Rocha condam"/>
    <m/>
    <m/>
    <m/>
    <m/>
    <m/>
    <m/>
  </r>
  <r>
    <n v="1482"/>
    <s v="Armandus"/>
    <x v="68"/>
    <s v="H"/>
    <n v="1342"/>
    <s v="Février"/>
    <s v="?"/>
    <x v="4"/>
    <s v="Bon Pas"/>
    <m/>
    <s v="Rivo de Borneta"/>
    <m/>
    <m/>
    <m/>
    <m/>
    <m/>
    <m/>
  </r>
  <r>
    <n v="1482"/>
    <s v="Armandus"/>
    <x v="68"/>
    <s v="H"/>
    <n v="1342"/>
    <s v="Février"/>
    <s v="?"/>
    <x v="4"/>
    <s v="Del Borze"/>
    <m/>
    <m/>
    <m/>
    <m/>
    <m/>
    <m/>
    <m/>
    <m/>
  </r>
  <r>
    <n v="1482"/>
    <s v="Armandus"/>
    <x v="68"/>
    <s v="H"/>
    <n v="1342"/>
    <s v="Février"/>
    <s v="?"/>
    <x v="4"/>
    <s v="Dens Verilhas"/>
    <m/>
    <m/>
    <m/>
    <m/>
    <m/>
    <m/>
    <m/>
    <m/>
  </r>
  <r>
    <n v="1482"/>
    <s v="Armandus"/>
    <x v="68"/>
    <s v="H"/>
    <n v="1342"/>
    <s v="Février"/>
    <s v="?"/>
    <x v="118"/>
    <s v="Les Prinalha"/>
    <m/>
    <m/>
    <m/>
    <m/>
    <m/>
    <m/>
    <s v="Indiviso de domino castri Devesseti et castri Sancti Agrippavii"/>
    <m/>
  </r>
  <r>
    <n v="1482"/>
    <s v="Armandus"/>
    <x v="68"/>
    <s v="H"/>
    <n v="1342"/>
    <s v="Février"/>
    <s v="?"/>
    <x v="118"/>
    <s v="Les Prinalha"/>
    <m/>
    <m/>
    <m/>
    <m/>
    <m/>
    <m/>
    <s v="Indiviso de domino castri Devesseti et castri Sancti Agrippavii"/>
    <m/>
  </r>
  <r>
    <n v="1482"/>
    <s v="Armandus"/>
    <x v="68"/>
    <s v="H"/>
    <n v="1342"/>
    <s v="Février"/>
    <s v="?"/>
    <x v="118"/>
    <s v="Dens Ubacs"/>
    <m/>
    <m/>
    <m/>
    <m/>
    <m/>
    <m/>
    <s v="Indiviso de domino castri Devesseti et castri Sancti Agrippavii"/>
    <m/>
  </r>
  <r>
    <n v="1482"/>
    <s v="Armandus"/>
    <x v="68"/>
    <s v="H"/>
    <n v="1342"/>
    <s v="Février"/>
    <s v="?"/>
    <x v="118"/>
    <s v="Dens Ubacs"/>
    <m/>
    <m/>
    <m/>
    <m/>
    <m/>
    <m/>
    <s v="Indiviso de domino castri Devesseti et castri Sancti Agrippavii"/>
    <m/>
  </r>
  <r>
    <n v="1482"/>
    <s v="Armandus"/>
    <x v="68"/>
    <s v="H"/>
    <n v="1342"/>
    <s v="Février"/>
    <s v="?"/>
    <x v="118"/>
    <s v="Molendini veteris"/>
    <m/>
    <m/>
    <m/>
    <m/>
    <m/>
    <m/>
    <s v="Indiviso de domino castri Devesseti et castri Sancti Agrippavii"/>
    <m/>
  </r>
  <r>
    <n v="1482"/>
    <s v="Armandus"/>
    <x v="68"/>
    <s v="H"/>
    <n v="1342"/>
    <s v="Février"/>
    <s v="?"/>
    <x v="118"/>
    <s v="Molendini veteris"/>
    <m/>
    <m/>
    <m/>
    <m/>
    <m/>
    <m/>
    <s v="Indiviso de domino castri Devesseti et castri Sancti Agrippavii"/>
    <m/>
  </r>
  <r>
    <n v="1482"/>
    <s v="Armandus"/>
    <x v="68"/>
    <s v="H"/>
    <n v="1342"/>
    <s v="Février"/>
    <s v="?"/>
    <x v="23"/>
    <s v="Costa Meiana"/>
    <m/>
    <m/>
    <m/>
    <m/>
    <m/>
    <m/>
    <s v="Indiviso de domino castri Devesseti et castri Sancti Agrippavii"/>
    <m/>
  </r>
  <r>
    <n v="1482"/>
    <s v="Armandus"/>
    <x v="68"/>
    <s v="H"/>
    <n v="1342"/>
    <s v="Février"/>
    <s v="?"/>
    <x v="61"/>
    <s v="De Fonte"/>
    <m/>
    <m/>
    <m/>
    <m/>
    <m/>
    <m/>
    <s v="Indiviso de domino castri Devesseti et castri Sancti Agrippavii"/>
    <m/>
  </r>
  <r>
    <n v="1482"/>
    <s v="Armandus"/>
    <x v="68"/>
    <s v="H"/>
    <n v="1342"/>
    <s v="Février"/>
    <s v="?"/>
    <x v="61"/>
    <s v="De Fonte"/>
    <m/>
    <m/>
    <m/>
    <m/>
    <m/>
    <m/>
    <s v="Indiviso de domino castri Devesseti et castri Sancti Agrippavii"/>
    <m/>
  </r>
  <r>
    <n v="1482"/>
    <s v="Armandus"/>
    <x v="68"/>
    <s v="H"/>
    <n v="1342"/>
    <s v="Février"/>
    <s v="?"/>
    <x v="28"/>
    <s v="Del Chastaneir"/>
    <m/>
    <m/>
    <m/>
    <m/>
    <m/>
    <m/>
    <s v="Indiviso de domino castri Devesseti et castri Sancti Agrippavii"/>
    <m/>
  </r>
  <r>
    <n v="1482"/>
    <s v="Armandus"/>
    <x v="68"/>
    <s v="H"/>
    <n v="1342"/>
    <s v="Février"/>
    <s v="?"/>
    <x v="28"/>
    <s v="Del Chastaneir"/>
    <m/>
    <m/>
    <m/>
    <m/>
    <m/>
    <m/>
    <s v="Indiviso de domino castri Devesseti et castri Sancti Agrippavii"/>
    <m/>
  </r>
  <r>
    <n v="1482"/>
    <s v="Armandus"/>
    <x v="68"/>
    <s v="H"/>
    <n v="1342"/>
    <s v="Février"/>
    <s v="?"/>
    <x v="33"/>
    <m/>
    <s v="Situm apud La Rocha"/>
    <m/>
    <m/>
    <m/>
    <m/>
    <m/>
    <m/>
    <m/>
  </r>
  <r>
    <n v="1482"/>
    <s v="Armandus"/>
    <x v="68"/>
    <s v="H"/>
    <n v="1342"/>
    <s v="Février"/>
    <s v="?"/>
    <x v="106"/>
    <s v="Hominum de Ruppe"/>
    <m/>
    <m/>
    <m/>
    <m/>
    <m/>
    <m/>
    <m/>
    <m/>
  </r>
  <r>
    <n v="1482"/>
    <s v="Armandus"/>
    <x v="68"/>
    <s v="H"/>
    <n v="1342"/>
    <s v="Février"/>
    <s v="?"/>
    <x v="6"/>
    <m/>
    <s v="Territorio de Ruppe"/>
    <s v="Territorio de Rilhac"/>
    <s v="Territorio de Arnaudes"/>
    <m/>
    <m/>
    <m/>
    <m/>
    <m/>
  </r>
  <r>
    <n v="1482"/>
    <s v="Armandus"/>
    <x v="68"/>
    <s v="H"/>
    <n v="1342"/>
    <s v="Février"/>
    <s v="?"/>
    <x v="119"/>
    <m/>
    <s v="Situm in territorio de Rochabona"/>
    <m/>
    <m/>
    <m/>
    <m/>
    <m/>
    <m/>
    <m/>
  </r>
  <r>
    <n v="1482"/>
    <s v="Armandus"/>
    <x v="68"/>
    <s v="H"/>
    <n v="1342"/>
    <s v="Février"/>
    <s v="?"/>
    <x v="119"/>
    <m/>
    <s v="Situm in territorio de Rochabona"/>
    <m/>
    <m/>
    <m/>
    <m/>
    <m/>
    <m/>
    <m/>
  </r>
  <r>
    <n v="1482"/>
    <s v="Armandus"/>
    <x v="68"/>
    <s v="H"/>
    <n v="1342"/>
    <s v="Février"/>
    <s v="?"/>
    <x v="120"/>
    <s v="Vinatz de Borneta"/>
    <m/>
    <m/>
    <m/>
    <m/>
    <m/>
    <m/>
    <m/>
    <m/>
  </r>
  <r>
    <n v="1721"/>
    <s v="Guillermus"/>
    <x v="68"/>
    <s v="H"/>
    <n v="1343"/>
    <s v="Avril"/>
    <n v="17"/>
    <x v="121"/>
    <m/>
    <s v="Siti in nemore de Ruppe"/>
    <s v="Rivo vocato de Borneta"/>
    <s v="Nemore Armandi Raspaudi de Ruppe"/>
    <s v="Nemore Symubdi Bochardi"/>
    <m/>
    <m/>
    <m/>
    <m/>
  </r>
  <r>
    <n v="1811"/>
    <s v="Petrus"/>
    <x v="68"/>
    <s v="H"/>
    <n v="1343"/>
    <s v="Janvier"/>
    <n v="13"/>
    <x v="67"/>
    <s v="Del Trior"/>
    <s v="Sitam in territorio de Ruppe"/>
    <s v="Itinere publico per quod itur de Ruppe versus Sanctam Agrippanum"/>
    <s v="Faysia heredum Vitalis Verilhati"/>
    <s v="Pasturali Dens perhens"/>
    <m/>
    <m/>
    <m/>
    <m/>
  </r>
  <r>
    <n v="1811"/>
    <s v="Petrus"/>
    <x v="68"/>
    <s v="H"/>
    <n v="1343"/>
    <s v="Janvier"/>
    <n v="13"/>
    <x v="3"/>
    <s v="Cruce Vassal"/>
    <m/>
    <s v="Terra heredum Girardi de Rilhac"/>
    <s v="Terra quam illi de Ruppe emerunt a Gerentono Ronini"/>
    <s v="Terra heredum Mathei Duneira"/>
    <m/>
    <m/>
    <m/>
    <m/>
  </r>
  <r>
    <n v="1811"/>
    <s v="Petrus"/>
    <x v="68"/>
    <s v="H"/>
    <n v="1343"/>
    <s v="Janvier"/>
    <n v="13"/>
    <x v="0"/>
    <m/>
    <s v="Sitam in manso Sanhe Serserii"/>
    <s v="Terra Petri de Ruppe"/>
    <s v="Prato heredum Guillermi de Ruppe"/>
    <m/>
    <m/>
    <m/>
    <m/>
    <m/>
  </r>
  <r>
    <n v="1811"/>
    <s v="Petrus"/>
    <x v="68"/>
    <s v="H"/>
    <n v="1343"/>
    <s v="Janvier"/>
    <n v="13"/>
    <x v="4"/>
    <m/>
    <s v="Situm in loco de Sanhe Serserii"/>
    <s v="Petie sue"/>
    <m/>
    <m/>
    <m/>
    <m/>
    <m/>
    <m/>
  </r>
  <r>
    <n v="1811"/>
    <s v="Petrus"/>
    <x v="68"/>
    <s v="H"/>
    <n v="1343"/>
    <s v="Janvier"/>
    <n v="13"/>
    <x v="4"/>
    <s v="Pratum Soteira D'Arnaudest"/>
    <s v="Situm in territorio de Sanha Serzeir"/>
    <s v="Terra Petri de Ruppe (A parte superiori)"/>
    <s v="Rivo de Arnaudesto"/>
    <s v="Pratis heredum Guillermi de Ruppe"/>
    <m/>
    <m/>
    <m/>
    <m/>
  </r>
  <r>
    <n v="1812"/>
    <s v="Peyruchonis"/>
    <x v="68"/>
    <s v="H"/>
    <n v="1343"/>
    <s v="Janvier"/>
    <n v="13"/>
    <x v="122"/>
    <s v="Issarti Symiont"/>
    <s v="Situm in nemore de Ruppem"/>
    <s v="Nemore heredum Stephani De Ruppe"/>
    <s v="Nemore Gregorii de Rilhaco"/>
    <s v="Rivo de Aqua Nigra"/>
    <s v="Petia heredum Mathei Dunerie"/>
    <m/>
    <m/>
    <m/>
  </r>
  <r>
    <n v="1333"/>
    <s v="Guillermus"/>
    <x v="69"/>
    <s v="H"/>
    <n v="1345"/>
    <s v="Mars"/>
    <m/>
    <x v="33"/>
    <s v="Dens Vernes"/>
    <s v="Sita in territorio de la Planeta"/>
    <s v="Terra suis"/>
    <m/>
    <m/>
    <m/>
    <m/>
    <m/>
    <s v="Quod nemus aquisivit a vocato Petro Solieir + circumcirca"/>
  </r>
  <r>
    <n v="1333"/>
    <s v="Guillermus"/>
    <x v="69"/>
    <s v="H"/>
    <n v="1345"/>
    <s v="Mars"/>
    <m/>
    <x v="8"/>
    <s v="Dens Vernes"/>
    <s v="Sita in territorio de la Planeta"/>
    <s v="Terra suis"/>
    <m/>
    <m/>
    <m/>
    <m/>
    <m/>
    <s v="Quam aquisivit a Jacobo Brunii + circumcirca"/>
  </r>
  <r>
    <n v="1361"/>
    <s v="Johannes"/>
    <x v="69"/>
    <s v="H"/>
    <n v="1342"/>
    <s v="Février"/>
    <n v="12"/>
    <x v="1"/>
    <m/>
    <s v="Apud Villa Nova Devesseti"/>
    <m/>
    <m/>
    <m/>
    <m/>
    <m/>
    <m/>
    <m/>
  </r>
  <r>
    <n v="1361"/>
    <s v="Johannes"/>
    <x v="69"/>
    <s v="H"/>
    <n v="1342"/>
    <s v="Février"/>
    <n v="12"/>
    <x v="91"/>
    <m/>
    <m/>
    <s v="Domibus suum"/>
    <s v="Careiis publicis Ville Nove"/>
    <s v="Prato Dens Brunens"/>
    <m/>
    <m/>
    <m/>
    <m/>
  </r>
  <r>
    <n v="1361"/>
    <s v="Johannes"/>
    <x v="69"/>
    <s v="H"/>
    <n v="1342"/>
    <s v="Février"/>
    <n v="12"/>
    <x v="2"/>
    <m/>
    <m/>
    <s v="Carrerra publica qua itur de Devesseto versus crostellum"/>
    <s v="Orto Johannis Malrorii"/>
    <m/>
    <m/>
    <m/>
    <m/>
    <s v="Qui fuit Johannete de Fores"/>
  </r>
  <r>
    <n v="1361"/>
    <s v="Johannes"/>
    <x v="69"/>
    <s v="H"/>
    <n v="1342"/>
    <s v="Février"/>
    <n v="12"/>
    <x v="4"/>
    <m/>
    <s v="Situm apud Dinesonem"/>
    <s v="Prata domus Devesseti"/>
    <m/>
    <m/>
    <m/>
    <m/>
    <m/>
    <m/>
  </r>
  <r>
    <n v="1361"/>
    <s v="Johannes"/>
    <x v="69"/>
    <s v="H"/>
    <n v="1342"/>
    <s v="Février"/>
    <n v="12"/>
    <x v="4"/>
    <m/>
    <s v="Situm apud La Garnaa"/>
    <s v="Prato Petri Bachirii"/>
    <s v="Prato vocati Garaitonis"/>
    <m/>
    <m/>
    <m/>
    <m/>
    <m/>
  </r>
  <r>
    <n v="1361"/>
    <s v="Johannes"/>
    <x v="69"/>
    <s v="H"/>
    <n v="1342"/>
    <s v="Février"/>
    <n v="12"/>
    <x v="29"/>
    <m/>
    <m/>
    <m/>
    <m/>
    <m/>
    <m/>
    <m/>
    <m/>
    <s v="Que habuit a dicta Janaa"/>
  </r>
  <r>
    <n v="1361"/>
    <s v="Johannes"/>
    <x v="69"/>
    <s v="H"/>
    <n v="1342"/>
    <s v="Février"/>
    <n v="12"/>
    <x v="95"/>
    <s v="Las Pinetas"/>
    <m/>
    <m/>
    <m/>
    <m/>
    <m/>
    <m/>
    <m/>
    <s v="Nondum densum"/>
  </r>
  <r>
    <n v="1361"/>
    <s v="Johannes"/>
    <x v="69"/>
    <s v="H"/>
    <n v="1342"/>
    <s v="Février"/>
    <n v="12"/>
    <x v="68"/>
    <s v="Uxoris sue"/>
    <m/>
    <s v="Via qua itur de Villa Nova versus Boschetum"/>
    <s v="Via qua itur Boscheto versus domum Armandeti de Garaitz condam"/>
    <m/>
    <m/>
    <m/>
    <m/>
    <s v="Que in parte duit de Laiala"/>
  </r>
  <r>
    <n v="1361"/>
    <s v="Johannes"/>
    <x v="69"/>
    <s v="H"/>
    <n v="1342"/>
    <s v="Février"/>
    <n v="12"/>
    <x v="8"/>
    <m/>
    <m/>
    <s v="Via publicam qua monet de Villanova et vadit versus Las Puteas"/>
    <s v="Terra Johannis Garaito"/>
    <s v="Peyruchonis Vacherii"/>
    <m/>
    <m/>
    <m/>
    <m/>
  </r>
  <r>
    <n v="1361"/>
    <s v="Johannes"/>
    <x v="69"/>
    <s v="H"/>
    <n v="1342"/>
    <s v="Février"/>
    <n v="12"/>
    <x v="12"/>
    <m/>
    <m/>
    <s v="Via publicam qua monet de Villanova et vadit versus Las Puteas"/>
    <s v="Terra Johannis Garaito"/>
    <s v="Peyruchonis Vacherii"/>
    <m/>
    <m/>
    <m/>
    <m/>
  </r>
  <r>
    <n v="1361"/>
    <s v="Johannes"/>
    <x v="69"/>
    <s v="H"/>
    <n v="1342"/>
    <s v="Février"/>
    <n v="12"/>
    <x v="33"/>
    <s v="De Talhaessa"/>
    <m/>
    <s v="Nemore de Cumba Menuzlh"/>
    <s v="Nemore de La Focha"/>
    <s v="Nemore de Chayneto"/>
    <m/>
    <m/>
    <m/>
    <s v="Quod habet idem Johannes cum illis de miasfreschas"/>
  </r>
  <r>
    <n v="1361"/>
    <s v="Johannes"/>
    <x v="69"/>
    <s v="H"/>
    <n v="1342"/>
    <s v="Février"/>
    <n v="12"/>
    <x v="4"/>
    <m/>
    <m/>
    <s v="Prato domini preceptoris"/>
    <s v="Prato Johannis Jordanonis"/>
    <m/>
    <m/>
    <m/>
    <m/>
    <s v="Quod aquisivit a Johanneta Trona"/>
  </r>
  <r>
    <n v="1361"/>
    <s v="Johannes"/>
    <x v="69"/>
    <s v="H"/>
    <n v="1342"/>
    <s v="Février"/>
    <n v="12"/>
    <x v="2"/>
    <m/>
    <m/>
    <s v="Grangia sua"/>
    <s v="Ouchia garaitonis"/>
    <m/>
    <m/>
    <m/>
    <m/>
    <s v="Quem aquisivit de la Filha"/>
  </r>
  <r>
    <n v="1361"/>
    <s v="Johannes"/>
    <x v="69"/>
    <s v="H"/>
    <n v="1342"/>
    <s v="Février"/>
    <n v="12"/>
    <x v="4"/>
    <m/>
    <m/>
    <s v="Pratum vocatum Jordan"/>
    <s v="Prato Guigoneti Fabri de Villanova"/>
    <m/>
    <m/>
    <m/>
    <m/>
    <s v="Quod aquisivit a la Viletona"/>
  </r>
  <r>
    <n v="1361"/>
    <s v="Johannes"/>
    <x v="69"/>
    <s v="H"/>
    <n v="1342"/>
    <s v="Février"/>
    <n v="12"/>
    <x v="2"/>
    <m/>
    <m/>
    <s v="Orto Johannis Jordani"/>
    <s v="Via qua itur de doma vocati Armandi versus la Fontetas"/>
    <m/>
    <m/>
    <m/>
    <m/>
    <s v="Quod aquisivit a la Viletona"/>
  </r>
  <r>
    <n v="1361"/>
    <s v="Johannes"/>
    <x v="69"/>
    <s v="H"/>
    <n v="1342"/>
    <s v="Février"/>
    <n v="12"/>
    <x v="4"/>
    <m/>
    <s v="Sita in loco de Spaetis"/>
    <s v="Prato Andree Vocato Del Betz"/>
    <s v="Terra dicte domus"/>
    <m/>
    <m/>
    <m/>
    <m/>
    <s v="Que Aquisivit de Andree De Spaetis"/>
  </r>
  <r>
    <n v="1361"/>
    <s v="Johannes"/>
    <x v="69"/>
    <s v="H"/>
    <n v="1342"/>
    <s v="Février"/>
    <n v="12"/>
    <x v="15"/>
    <m/>
    <s v="Sita in loco de Spaetis"/>
    <s v="Prato Andree Vocato Del Betz"/>
    <s v="Terra dicte domus"/>
    <m/>
    <m/>
    <m/>
    <m/>
    <s v="Que Aquisivit de Andree De Spaetis"/>
  </r>
  <r>
    <n v="1361"/>
    <s v="Johannes"/>
    <x v="69"/>
    <s v="H"/>
    <n v="1342"/>
    <s v="Février"/>
    <n v="12"/>
    <x v="123"/>
    <m/>
    <s v="Situm in loco de Spaetis"/>
    <s v="Via qua itur de Devesseto versus Vacharessas media"/>
    <s v="Blacha heredum Johannis de Spaetis"/>
    <m/>
    <m/>
    <m/>
    <m/>
    <s v="Nemus sive blachia et ouchias"/>
  </r>
  <r>
    <n v="1361"/>
    <s v="Johannes"/>
    <x v="69"/>
    <s v="H"/>
    <n v="1342"/>
    <s v="Février"/>
    <n v="12"/>
    <x v="68"/>
    <m/>
    <s v="Situm in loco de Spaetis"/>
    <s v="Terra cartina domus Devesseti"/>
    <m/>
    <m/>
    <m/>
    <m/>
    <m/>
    <s v="Nemus sive blachia et ouchias"/>
  </r>
  <r>
    <n v="1361"/>
    <s v="Johannes"/>
    <x v="69"/>
    <s v="H"/>
    <n v="1342"/>
    <s v="Février"/>
    <n v="12"/>
    <x v="4"/>
    <m/>
    <s v="Situm apud Ceisonera"/>
    <s v="Rivo quod labitur Ayga Neira"/>
    <s v="Prato Mathei de Jalibertis"/>
    <m/>
    <m/>
    <m/>
    <m/>
    <s v="Quod aquisivit de Andree de Jalibertis"/>
  </r>
  <r>
    <n v="1631"/>
    <s v="Bartholomeus"/>
    <x v="69"/>
    <s v="H"/>
    <n v="1343"/>
    <s v="Avril"/>
    <n v="4"/>
    <x v="55"/>
    <s v="Del Serre"/>
    <s v="Site apud Hereo"/>
    <s v="Terra Poncii de Hereone condam"/>
    <s v="Terra Petri de Mon Reont"/>
    <m/>
    <m/>
    <m/>
    <m/>
    <m/>
  </r>
  <r>
    <n v="1631"/>
    <s v="Bartholomeus"/>
    <x v="69"/>
    <s v="H"/>
    <n v="1343"/>
    <s v="Avril"/>
    <n v="4"/>
    <x v="124"/>
    <s v="La Cumbeta"/>
    <m/>
    <s v="Prato liberorum Guillermi de Hereo"/>
    <s v="Pratum heredum Nicholau de Hereo"/>
    <m/>
    <m/>
    <m/>
    <m/>
    <m/>
  </r>
  <r>
    <n v="1631"/>
    <s v="Bartholomeus"/>
    <x v="69"/>
    <s v="H"/>
    <n v="1343"/>
    <s v="Avril"/>
    <n v="4"/>
    <x v="55"/>
    <s v="La Cumbeta"/>
    <m/>
    <s v="Prati sui"/>
    <s v="Petia et prato Piero de Hereo"/>
    <s v="Terra Petri de Monreont"/>
    <m/>
    <m/>
    <m/>
    <m/>
  </r>
  <r>
    <n v="1631"/>
    <s v="Bartholomeus"/>
    <x v="69"/>
    <s v="H"/>
    <n v="1343"/>
    <s v="Avril"/>
    <n v="4"/>
    <x v="24"/>
    <s v="La Cumbeta"/>
    <m/>
    <s v="Medietatem petiam suam"/>
    <s v="Petia et prato Piero de Hereo"/>
    <s v="Terra Petri de Monreont"/>
    <m/>
    <m/>
    <m/>
    <m/>
  </r>
  <r>
    <n v="1631"/>
    <s v="Bartholomeus"/>
    <x v="69"/>
    <s v="H"/>
    <n v="1343"/>
    <s v="Avril"/>
    <n v="4"/>
    <x v="125"/>
    <m/>
    <s v="Siti in territorio de Prala"/>
    <s v="Petia sua et prato suo de la Cumbeta quadam via media"/>
    <s v="Itinere publico per quod itur de Sancto Agrippano versus Devessetum"/>
    <m/>
    <m/>
    <m/>
    <m/>
    <m/>
  </r>
  <r>
    <n v="1631"/>
    <s v="Bartholomeus"/>
    <x v="69"/>
    <s v="H"/>
    <n v="1343"/>
    <s v="Avril"/>
    <n v="4"/>
    <x v="24"/>
    <m/>
    <s v="Siti in territorio de Prala"/>
    <s v="Petia sua et prato suo de la Cumbeta quadam via media"/>
    <s v="Itinere publico per quod itur de Sancto Agrippano versus Devessetum"/>
    <m/>
    <m/>
    <m/>
    <m/>
    <m/>
  </r>
  <r>
    <n v="1631"/>
    <s v="Bartholomeus"/>
    <x v="69"/>
    <s v="H"/>
    <n v="1343"/>
    <s v="Avril"/>
    <n v="4"/>
    <x v="124"/>
    <m/>
    <m/>
    <s v="Petie sue"/>
    <s v="Terra sua"/>
    <s v="Terra Guigonis de Ponte"/>
    <s v="Terra ecclesie Sancti Agrippani"/>
    <m/>
    <m/>
    <m/>
  </r>
  <r>
    <n v="1631"/>
    <s v="Bartholomeus"/>
    <x v="69"/>
    <s v="H"/>
    <n v="1343"/>
    <s v="Avril"/>
    <n v="4"/>
    <x v="124"/>
    <s v="De Pra la"/>
    <m/>
    <s v="Prato Guigonis de Ponte"/>
    <s v="Pratum heredum Guillermi de Hereo"/>
    <m/>
    <m/>
    <m/>
    <m/>
    <m/>
  </r>
  <r>
    <n v="1641"/>
    <s v="Petrus"/>
    <x v="69"/>
    <s v="H"/>
    <n v="1343"/>
    <s v="Avril"/>
    <n v="4"/>
    <x v="0"/>
    <s v="Lo Garant"/>
    <s v="Sitam apud Raschassac"/>
    <s v="Petia liberorum Michaelis de Croso condam"/>
    <s v="Terra Pascalonis de Raschassac condam"/>
    <m/>
    <m/>
    <m/>
    <m/>
    <m/>
  </r>
  <r>
    <n v="1641"/>
    <s v="Petrus"/>
    <x v="69"/>
    <s v="H"/>
    <n v="1343"/>
    <s v="Avril"/>
    <n v="4"/>
    <x v="3"/>
    <m/>
    <s v="Sitam in manso de Raschassac"/>
    <s v="Terra Magistri Guillermi Ariberui"/>
    <s v="Terra Boneti de la Peira"/>
    <m/>
    <m/>
    <m/>
    <m/>
    <m/>
  </r>
  <r>
    <n v="1641"/>
    <s v="Petrus"/>
    <x v="69"/>
    <s v="H"/>
    <n v="1343"/>
    <s v="Avril"/>
    <n v="4"/>
    <x v="3"/>
    <s v="Del Bel Champ"/>
    <m/>
    <s v="Terra heredum Michaelis de Croso condam"/>
    <s v="Terra heredum Pascalonis de Raschassac"/>
    <m/>
    <m/>
    <m/>
    <m/>
    <m/>
  </r>
  <r>
    <n v="1641"/>
    <s v="Petrus"/>
    <x v="69"/>
    <s v="H"/>
    <n v="1343"/>
    <s v="Avril"/>
    <n v="4"/>
    <x v="3"/>
    <m/>
    <s v="Sitam apud Raschassac"/>
    <s v="Petia heredum Michaelis de Crozo"/>
    <s v="Petia heredum Pascalonis de Raschassac"/>
    <m/>
    <m/>
    <m/>
    <m/>
    <m/>
  </r>
  <r>
    <n v="1641"/>
    <s v="Petrus"/>
    <x v="69"/>
    <s v="H"/>
    <n v="1343"/>
    <s v="Avril"/>
    <n v="4"/>
    <x v="68"/>
    <m/>
    <s v="Sitam apud Raschassac"/>
    <s v="Plancerio heredum Pascalonis de Raschassac"/>
    <s v="Petia Vitalis Blachonis de Raschassac"/>
    <m/>
    <m/>
    <m/>
    <m/>
    <m/>
  </r>
  <r>
    <n v="1641"/>
    <s v="Petrus"/>
    <x v="69"/>
    <s v="H"/>
    <n v="1343"/>
    <s v="Avril"/>
    <n v="4"/>
    <x v="2"/>
    <m/>
    <s v="Situm in loco de Raschassac"/>
    <s v="Via qua itur de Raschassac versus Faysene"/>
    <m/>
    <m/>
    <m/>
    <m/>
    <m/>
    <m/>
  </r>
  <r>
    <n v="1641"/>
    <s v="Petrus"/>
    <x v="69"/>
    <s v="H"/>
    <n v="1343"/>
    <s v="Avril"/>
    <n v="4"/>
    <x v="2"/>
    <m/>
    <s v="De recto furmum de Raschassac"/>
    <m/>
    <m/>
    <m/>
    <m/>
    <m/>
    <m/>
    <m/>
  </r>
  <r>
    <n v="1641"/>
    <s v="Petrus"/>
    <x v="69"/>
    <s v="H"/>
    <n v="1343"/>
    <s v="Avril"/>
    <n v="4"/>
    <x v="0"/>
    <m/>
    <s v="Sitam in manso de Lermet"/>
    <s v="Prato et terra heredum Gregorii Blachonis"/>
    <m/>
    <m/>
    <m/>
    <m/>
    <m/>
    <m/>
  </r>
  <r>
    <n v="1641"/>
    <s v="Petrus"/>
    <x v="69"/>
    <s v="H"/>
    <n v="1343"/>
    <s v="Avril"/>
    <n v="4"/>
    <x v="4"/>
    <s v="Del Pomeir"/>
    <s v="Situm apud Raschassac"/>
    <s v="Prato Dens Cransac"/>
    <s v="Prato Stephani Celump"/>
    <m/>
    <m/>
    <m/>
    <m/>
    <m/>
  </r>
  <r>
    <n v="1641"/>
    <s v="Petrus"/>
    <x v="69"/>
    <s v="H"/>
    <n v="1343"/>
    <s v="Avril"/>
    <n v="4"/>
    <x v="4"/>
    <m/>
    <s v="Situm apud Raschassac"/>
    <s v="Pratis illorum de la Peira"/>
    <s v="Via qua itur de Raschassac et itur versus Bertrant"/>
    <m/>
    <m/>
    <m/>
    <m/>
    <m/>
  </r>
  <r>
    <n v="1641"/>
    <s v="Petrus"/>
    <x v="69"/>
    <s v="H"/>
    <n v="1343"/>
    <s v="Avril"/>
    <n v="4"/>
    <x v="45"/>
    <m/>
    <s v="Situm apud Rialhacum"/>
    <s v="Terra Johannis de Rilhaco"/>
    <s v="Prato Johannis de Rilhaco"/>
    <s v="Terra heredum de Girart de Rilhaco"/>
    <m/>
    <m/>
    <m/>
    <s v="Tam pratum quam petiam"/>
  </r>
  <r>
    <n v="1762"/>
    <s v="Guillermus"/>
    <x v="69"/>
    <s v="H"/>
    <n v="1343"/>
    <s v="Décembre"/>
    <n v="1"/>
    <x v="4"/>
    <s v="Pratum Artaudent"/>
    <s v="Situm in territorio d'Arnaudes"/>
    <s v="Territorio d'Arnaudest"/>
    <m/>
    <m/>
    <m/>
    <m/>
    <m/>
    <s v="Ab omnibus partibus"/>
  </r>
  <r>
    <n v="1762"/>
    <s v="Guillermus"/>
    <x v="69"/>
    <s v="H"/>
    <n v="1343"/>
    <s v="Décembre"/>
    <n v="1"/>
    <x v="4"/>
    <s v="Pratum Bacalheira"/>
    <s v="Situm in territorio vocato Dastafort"/>
    <s v="Territorio d'Arnaudest"/>
    <s v="Terra quam tenent liberi Stephani Fores condam a dicta domo Devesseti"/>
    <m/>
    <m/>
    <m/>
    <m/>
    <m/>
  </r>
  <r>
    <n v="1803"/>
    <s v="Petrus"/>
    <x v="69"/>
    <s v="H"/>
    <n v="1343"/>
    <s v="Janvier"/>
    <n v="13"/>
    <x v="4"/>
    <s v="Uxoris sue"/>
    <s v="Situm in territorio de Fonte Frigido sito in territorio de Frigidis Parietibus"/>
    <s v="Prato Johannete uxoris Johannis de Aulanherio"/>
    <s v="Prato heredum Nicholai de Hereone"/>
    <s v="Prato Vitalis de Frigidis Parietibus"/>
    <m/>
    <m/>
    <m/>
    <m/>
  </r>
  <r>
    <n v="1821"/>
    <s v="Martinus"/>
    <x v="69"/>
    <s v="H"/>
    <n v="1343"/>
    <m/>
    <s v="Die Sabati in festo Beati Johannis Anthoni"/>
    <x v="126"/>
    <m/>
    <s v="Site in territorio de Ruppe"/>
    <s v="Nemore Johannis Rebolli"/>
    <m/>
    <m/>
    <m/>
    <m/>
    <m/>
    <m/>
  </r>
  <r>
    <n v="1832"/>
    <s v="Guillermus"/>
    <x v="69"/>
    <s v="H"/>
    <n v="1344"/>
    <s v="Janvier"/>
    <n v="24"/>
    <x v="33"/>
    <s v="Graysart"/>
    <m/>
    <s v="Nemore Magistri Guillermi Brocherii"/>
    <m/>
    <m/>
    <m/>
    <m/>
    <m/>
    <m/>
  </r>
  <r>
    <n v="1832"/>
    <s v="Guillermus"/>
    <x v="69"/>
    <s v="H"/>
    <n v="1344"/>
    <s v="Janvier"/>
    <n v="24"/>
    <x v="8"/>
    <m/>
    <m/>
    <s v="Nemus suum"/>
    <m/>
    <m/>
    <m/>
    <m/>
    <m/>
    <m/>
  </r>
  <r>
    <n v="1832"/>
    <s v="Guillermus"/>
    <x v="69"/>
    <s v="H"/>
    <n v="1344"/>
    <s v="Janvier"/>
    <n v="24"/>
    <x v="33"/>
    <m/>
    <m/>
    <s v="Rivo de Graysart"/>
    <m/>
    <m/>
    <m/>
    <m/>
    <m/>
    <s v="Quod hec pro indiviso cum domino de Chalmetis"/>
  </r>
  <r>
    <n v="1832"/>
    <s v="Guillermus"/>
    <x v="69"/>
    <s v="H"/>
    <n v="1344"/>
    <s v="Janvier"/>
    <n v="24"/>
    <x v="0"/>
    <m/>
    <s v="Sitam in Verneto Gakletes"/>
    <s v="Terra nobilis Bernardi de Sanna"/>
    <m/>
    <m/>
    <m/>
    <m/>
    <m/>
    <m/>
  </r>
  <r>
    <n v="1832"/>
    <s v="Guillermus"/>
    <x v="69"/>
    <s v="H"/>
    <n v="1344"/>
    <s v="Janvier"/>
    <n v="24"/>
    <x v="52"/>
    <m/>
    <s v="In manso vocato Daureyac"/>
    <s v="Via qua itur de Sancto Agrippano versus Raschassac"/>
    <s v="Possessionibus liberorum Petri Ariberii"/>
    <m/>
    <m/>
    <m/>
    <m/>
    <m/>
  </r>
  <r>
    <n v="1832"/>
    <s v="Guillermus"/>
    <x v="69"/>
    <s v="H"/>
    <n v="1344"/>
    <s v="Janvier"/>
    <n v="24"/>
    <x v="6"/>
    <m/>
    <s v="In manso vocato Daureyac"/>
    <s v="Via qua itur de Sancto Agrippano versus Raschassac"/>
    <s v="Possessionibus liberorum Petri Ariberii"/>
    <m/>
    <m/>
    <m/>
    <m/>
    <m/>
  </r>
  <r>
    <n v="1832"/>
    <s v="Guillermus"/>
    <x v="69"/>
    <s v="H"/>
    <n v="1344"/>
    <s v="Janvier"/>
    <n v="24"/>
    <x v="4"/>
    <s v="Lestraa"/>
    <m/>
    <s v="Rivo de Lerescha"/>
    <m/>
    <m/>
    <m/>
    <m/>
    <m/>
    <m/>
  </r>
  <r>
    <n v="1832"/>
    <s v="Guillermus"/>
    <x v="69"/>
    <s v="H"/>
    <n v="1344"/>
    <s v="Janvier"/>
    <n v="24"/>
    <x v="120"/>
    <s v="Plani d'Alreneschas"/>
    <m/>
    <m/>
    <m/>
    <m/>
    <m/>
    <m/>
    <m/>
    <m/>
  </r>
  <r>
    <n v="1832"/>
    <s v="Guillermus"/>
    <x v="69"/>
    <s v="H"/>
    <n v="1344"/>
    <s v="Janvier"/>
    <n v="24"/>
    <x v="120"/>
    <s v="Plani d'Alreneschas"/>
    <m/>
    <m/>
    <m/>
    <m/>
    <m/>
    <m/>
    <m/>
    <m/>
  </r>
  <r>
    <n v="1832"/>
    <s v="Guillermus"/>
    <x v="69"/>
    <s v="H"/>
    <n v="1344"/>
    <s v="Janvier"/>
    <n v="24"/>
    <x v="33"/>
    <s v="Dens Vernes"/>
    <m/>
    <m/>
    <m/>
    <m/>
    <m/>
    <m/>
    <m/>
    <m/>
  </r>
  <r>
    <n v="1832"/>
    <s v="Guillermus"/>
    <x v="69"/>
    <s v="H"/>
    <n v="1344"/>
    <s v="Janvier"/>
    <n v="24"/>
    <x v="4"/>
    <s v="Lalien"/>
    <m/>
    <m/>
    <m/>
    <m/>
    <m/>
    <m/>
    <m/>
    <m/>
  </r>
  <r>
    <n v="1832"/>
    <s v="Guillermus"/>
    <x v="69"/>
    <s v="H"/>
    <n v="1344"/>
    <s v="Janvier"/>
    <n v="24"/>
    <x v="8"/>
    <m/>
    <m/>
    <s v="Prato suo"/>
    <s v="Prato Guigonis de Ponte"/>
    <s v="Nemore Ariberuorum de Hereone"/>
    <s v="Via qui monet de Frigidis Parientibus et pertenditur versus Hereone"/>
    <m/>
    <m/>
    <m/>
  </r>
  <r>
    <n v="1832"/>
    <s v="Guillermus"/>
    <x v="69"/>
    <s v="H"/>
    <n v="1344"/>
    <s v="Janvier"/>
    <n v="24"/>
    <x v="0"/>
    <m/>
    <s v="Situm in loco vocato de Platina"/>
    <s v="Terra sua"/>
    <m/>
    <m/>
    <m/>
    <m/>
    <m/>
    <s v="Quam habuit a Johanne Bruni"/>
  </r>
  <r>
    <n v="1832"/>
    <s v="Guillermus"/>
    <x v="69"/>
    <s v="H"/>
    <n v="1344"/>
    <s v="Janvier"/>
    <n v="24"/>
    <x v="4"/>
    <m/>
    <s v="Situm apud Aureyratum"/>
    <s v="Prato liberorum Petri Ariberii condam"/>
    <m/>
    <m/>
    <m/>
    <m/>
    <m/>
    <m/>
  </r>
  <r>
    <n v="1832"/>
    <s v="Guillermus"/>
    <x v="69"/>
    <s v="H"/>
    <n v="1344"/>
    <s v="Janvier"/>
    <n v="24"/>
    <x v="0"/>
    <m/>
    <s v="Sitam prope Pedam Asini"/>
    <s v="Terra sua quam erint ab Armandete de Ruppe"/>
    <m/>
    <m/>
    <m/>
    <m/>
    <m/>
    <m/>
  </r>
  <r>
    <n v="1862"/>
    <s v="Bartholomeus"/>
    <x v="69"/>
    <s v="H"/>
    <n v="1344"/>
    <s v="Juin"/>
    <n v="19"/>
    <x v="115"/>
    <m/>
    <s v="Situm apud Raschassac"/>
    <m/>
    <m/>
    <m/>
    <m/>
    <m/>
    <m/>
    <m/>
  </r>
  <r>
    <n v="1862"/>
    <s v="Bartholomeus"/>
    <x v="69"/>
    <s v="H"/>
    <n v="1344"/>
    <s v="Juin"/>
    <n v="19"/>
    <x v="24"/>
    <m/>
    <s v="Loco et territorio de Lermet"/>
    <m/>
    <m/>
    <m/>
    <m/>
    <m/>
    <m/>
    <m/>
  </r>
  <r>
    <n v="1862"/>
    <s v="Bartholomeus"/>
    <x v="69"/>
    <s v="H"/>
    <n v="1344"/>
    <s v="Juin"/>
    <n v="19"/>
    <x v="12"/>
    <m/>
    <s v="Loco et territorio de Lermet"/>
    <m/>
    <m/>
    <m/>
    <m/>
    <m/>
    <m/>
    <m/>
  </r>
  <r>
    <n v="1862"/>
    <s v="Bartholomeus"/>
    <x v="69"/>
    <s v="H"/>
    <n v="1344"/>
    <s v="Juin"/>
    <n v="19"/>
    <x v="52"/>
    <m/>
    <s v="Loco et territorio de Lermet"/>
    <m/>
    <m/>
    <m/>
    <m/>
    <m/>
    <m/>
    <m/>
  </r>
  <r>
    <n v="1391"/>
    <s v="Bernardus"/>
    <x v="70"/>
    <s v="H"/>
    <n v="1342"/>
    <s v="Juin"/>
    <n v="15"/>
    <x v="127"/>
    <s v="Del Coynh Dens Yrissas"/>
    <s v="Terra liberorum Bernardi de Aulanherio condam"/>
    <s v="Terris de Freydas pares"/>
    <m/>
    <m/>
    <m/>
    <m/>
    <m/>
    <m/>
  </r>
  <r>
    <n v="1391"/>
    <s v="Bernardus"/>
    <x v="70"/>
    <s v="H"/>
    <n v="1342"/>
    <s v="Juin"/>
    <n v="15"/>
    <x v="0"/>
    <m/>
    <s v="En Aureat"/>
    <s v="Terra Dens Brus"/>
    <s v="Terra Dens Brus"/>
    <s v="Terra Dens Brus"/>
    <s v="Strata per quam vaivit gentes de Sancto Agrippavio versus Raschassat"/>
    <m/>
    <m/>
    <m/>
  </r>
  <r>
    <n v="1391"/>
    <s v="Bernardus"/>
    <x v="70"/>
    <s v="H"/>
    <n v="1342"/>
    <s v="Juin"/>
    <n v="15"/>
    <x v="0"/>
    <s v="Alfiert Fanet"/>
    <m/>
    <s v="Antiquo Fonte de la Nonta"/>
    <s v="Ouchia vocata de Conort condam"/>
    <s v="Terra Hospitalis Sancti Agrippavium"/>
    <s v="Trino de Petra Chana"/>
    <m/>
    <m/>
    <m/>
  </r>
  <r>
    <n v="1391"/>
    <s v="Bernardus"/>
    <x v="70"/>
    <s v="H"/>
    <n v="1342"/>
    <s v="Juin"/>
    <n v="15"/>
    <x v="0"/>
    <m/>
    <s v="In Aureat"/>
    <s v="Terra Dens Aiberiis"/>
    <s v="Terra torio de Lanonta"/>
    <s v="Garaito suo de Chalmetis"/>
    <s v="Terris de Colongia liberorum Poncii de Lachabana condam"/>
    <s v="Terra liberorum Staphani Craussat condam"/>
    <s v="Terris de Ariberuorum et Dens Brus"/>
    <m/>
  </r>
  <r>
    <n v="1391"/>
    <s v="Bernardus"/>
    <x v="70"/>
    <s v="H"/>
    <n v="1342"/>
    <s v="Juin"/>
    <n v="15"/>
    <x v="0"/>
    <m/>
    <s v="In Chalayosas"/>
    <s v="Terra Aribuorum"/>
    <s v="Terris de Raschassat heredum Poncii Blacho"/>
    <s v="Diruit quidam Rimilus qui oritur in pratis de Raschassat et vadit Ferire a magnum rivum de Raschassat"/>
    <s v="Terra liberorum Girandi Brunii de Chalmetis"/>
    <m/>
    <m/>
    <m/>
  </r>
  <r>
    <n v="1391"/>
    <s v="Bernardus"/>
    <x v="70"/>
    <s v="H"/>
    <n v="1342"/>
    <s v="Juin"/>
    <n v="15"/>
    <x v="0"/>
    <m/>
    <s v="En Chalni Michana"/>
    <s v="Ariberius"/>
    <s v="Ariberius"/>
    <s v="terra liberorum Brunii"/>
    <s v="Poncii Brunii condam"/>
    <m/>
    <m/>
    <m/>
  </r>
  <r>
    <n v="1391"/>
    <s v="Bernardus"/>
    <x v="70"/>
    <s v="H"/>
    <n v="1342"/>
    <s v="Juin"/>
    <n v="15"/>
    <x v="0"/>
    <s v="Las Teuleyras"/>
    <m/>
    <s v="Terra ecclesie Sancti Agrippavii"/>
    <s v="Terra Girandi brunii"/>
    <s v="Terra Poncii et Guillermi Brunii de Chalmetis"/>
    <m/>
    <m/>
    <m/>
    <m/>
  </r>
  <r>
    <n v="1391"/>
    <s v="Bernardus"/>
    <x v="70"/>
    <s v="H"/>
    <n v="1342"/>
    <s v="Juin"/>
    <n v="15"/>
    <x v="0"/>
    <m/>
    <s v="In Cumbale de La Charre"/>
    <s v="Terra Bertrandi de Chalmetis et Gakkant de La Chapela"/>
    <m/>
    <s v="Terra Petris et filii"/>
    <m/>
    <m/>
    <m/>
    <m/>
  </r>
  <r>
    <n v="1391"/>
    <s v="Bernardus"/>
    <x v="70"/>
    <s v="H"/>
    <n v="1342"/>
    <s v="Juin"/>
    <n v="15"/>
    <x v="128"/>
    <m/>
    <m/>
    <m/>
    <m/>
    <m/>
    <m/>
    <m/>
    <m/>
    <s v="Medietates dicte faicie et duas partes Faycie de Socheria"/>
  </r>
  <r>
    <n v="1391"/>
    <s v="Bernardus"/>
    <x v="70"/>
    <s v="H"/>
    <n v="1342"/>
    <s v="Juin"/>
    <n v="15"/>
    <x v="0"/>
    <m/>
    <s v="Sita In Cumbale de Las Tenberras"/>
    <s v="Terra suo"/>
    <s v="Terra liberorum Girandi Brunii de Chalmetis"/>
    <m/>
    <s v="Terris suis"/>
    <m/>
    <m/>
    <s v="Tenent liberii Girandi Brunii de Chalmetis condam"/>
  </r>
  <r>
    <n v="1391"/>
    <s v="Bernardus"/>
    <x v="70"/>
    <s v="H"/>
    <n v="1342"/>
    <s v="Juin"/>
    <n v="15"/>
    <x v="4"/>
    <s v="En Lausa"/>
    <m/>
    <s v="Rivo de Las Teuleyras"/>
    <s v="Terra suo"/>
    <m/>
    <m/>
    <m/>
    <m/>
    <s v="Acua liberi Petronille de La Chapella condam"/>
  </r>
  <r>
    <n v="1391"/>
    <s v="Bernardus"/>
    <x v="70"/>
    <s v="H"/>
    <n v="1342"/>
    <s v="Juin"/>
    <n v="15"/>
    <x v="6"/>
    <m/>
    <s v="In nemore del Rochaynh"/>
    <s v="Blairant"/>
    <s v="Tenleyras"/>
    <s v="Rivum de Graisart"/>
    <s v="Pratum quod erat Bertrandi de Capella condam"/>
    <s v="Id quod habent in sanha Molendini"/>
    <m/>
    <m/>
  </r>
  <r>
    <n v="1391"/>
    <s v="Bernardus"/>
    <x v="70"/>
    <s v="H"/>
    <n v="1342"/>
    <s v="Juin"/>
    <n v="15"/>
    <x v="6"/>
    <m/>
    <s v="In nemore seu terris de Gaisart"/>
    <s v="Blairant"/>
    <s v="Tenleyras"/>
    <s v="Rivum de Graisart"/>
    <s v="Pratum quod erat Bertrandi de Capella condam"/>
    <s v="Id quod habent in sanha Molendini"/>
    <m/>
    <m/>
  </r>
  <r>
    <n v="1391"/>
    <s v="Bernardus"/>
    <x v="70"/>
    <s v="H"/>
    <n v="1342"/>
    <s v="Juin"/>
    <n v="15"/>
    <x v="129"/>
    <m/>
    <m/>
    <m/>
    <m/>
    <m/>
    <m/>
    <m/>
    <m/>
    <s v="Quas tenebant ab eis Bonitus de Lernert condam in territorio de Chalmetis"/>
  </r>
  <r>
    <n v="1391"/>
    <s v="Bernardus"/>
    <x v="70"/>
    <s v="H"/>
    <n v="1342"/>
    <s v="Juin"/>
    <n v="15"/>
    <x v="0"/>
    <m/>
    <s v="In orteto del Prat Scibeira"/>
    <m/>
    <m/>
    <m/>
    <m/>
    <m/>
    <m/>
    <s v="Qua tenebant ab eis Martinus Brunii et eis fratres condam"/>
  </r>
  <r>
    <n v="1731"/>
    <s v="Matheus"/>
    <x v="70"/>
    <s v="H"/>
    <n v="1343"/>
    <m/>
    <s v="Die Jonis post festum iunentionis sancte crucis"/>
    <x v="7"/>
    <m/>
    <s v="Sitam apud Chalmetis"/>
    <s v="Domo Petri Brunii"/>
    <s v="Domo Petri Rotbandi"/>
    <m/>
    <m/>
    <m/>
    <m/>
    <m/>
  </r>
  <r>
    <n v="1731"/>
    <s v="Matheus"/>
    <x v="70"/>
    <s v="H"/>
    <n v="1343"/>
    <m/>
    <s v="Die Jonis post festum iunentionis sancte crucis"/>
    <x v="2"/>
    <s v="Dens Ortz Foras"/>
    <m/>
    <s v="Orto Michaelis Brunii"/>
    <m/>
    <m/>
    <m/>
    <m/>
    <m/>
    <m/>
  </r>
  <r>
    <n v="1731"/>
    <s v="Matheus"/>
    <x v="70"/>
    <s v="H"/>
    <n v="1343"/>
    <m/>
    <s v="Die Jonis post festum iunentionis sancte crucis"/>
    <x v="2"/>
    <s v="Del Suchet"/>
    <m/>
    <s v="Orto Michaelis Brunii"/>
    <m/>
    <m/>
    <m/>
    <m/>
    <m/>
    <m/>
  </r>
  <r>
    <n v="1731"/>
    <s v="Matheus"/>
    <x v="70"/>
    <s v="H"/>
    <n v="1343"/>
    <m/>
    <s v="Die Jonis post festum iunentionis sancte crucis"/>
    <x v="3"/>
    <s v="Del Lans"/>
    <m/>
    <s v="Prato del Lans"/>
    <s v="Petia Vitalis Brunii"/>
    <m/>
    <m/>
    <m/>
    <m/>
    <m/>
  </r>
  <r>
    <n v="1731"/>
    <s v="Matheus"/>
    <x v="70"/>
    <s v="H"/>
    <n v="1343"/>
    <m/>
    <s v="Die Jonis post festum iunentionis sancte crucis"/>
    <x v="3"/>
    <s v="De Ruppe de Luysac"/>
    <m/>
    <s v="Calma Meyana"/>
    <s v="Petia Michaelis Rotbandi"/>
    <m/>
    <m/>
    <m/>
    <m/>
    <m/>
  </r>
  <r>
    <n v="1731"/>
    <s v="Matheus"/>
    <x v="70"/>
    <s v="H"/>
    <n v="1343"/>
    <m/>
    <s v="Die Jonis post festum iunentionis sancte crucis"/>
    <x v="3"/>
    <m/>
    <s v="Sitam a la Cros del Bancel"/>
    <m/>
    <m/>
    <m/>
    <m/>
    <m/>
    <m/>
    <m/>
  </r>
  <r>
    <n v="1731"/>
    <s v="Matheus"/>
    <x v="70"/>
    <s v="H"/>
    <n v="1343"/>
    <m/>
    <s v="Die Jonis post festum iunentionis sancte crucis"/>
    <x v="4"/>
    <s v="Del Bancel"/>
    <m/>
    <m/>
    <m/>
    <m/>
    <m/>
    <m/>
    <m/>
    <m/>
  </r>
  <r>
    <n v="1731"/>
    <s v="Matheus"/>
    <x v="70"/>
    <s v="H"/>
    <n v="1343"/>
    <m/>
    <s v="Die Jonis post festum iunentionis sancte crucis"/>
    <x v="3"/>
    <m/>
    <s v="Sitam in Roneria"/>
    <s v="Petiam liberorum de la Anhela"/>
    <s v="Petri Rotbandi"/>
    <m/>
    <m/>
    <m/>
    <m/>
    <m/>
  </r>
  <r>
    <n v="1731"/>
    <s v="Matheus"/>
    <x v="70"/>
    <s v="H"/>
    <n v="1343"/>
    <m/>
    <s v="Die Jonis post festum iunentionis sancte crucis"/>
    <x v="3"/>
    <s v="De Longarayt"/>
    <m/>
    <s v="Petia Petri Brunii"/>
    <s v="Petiam Bertrandi Brunii"/>
    <m/>
    <m/>
    <m/>
    <m/>
    <m/>
  </r>
  <r>
    <n v="1873"/>
    <s v="Johannes"/>
    <x v="71"/>
    <s v="H"/>
    <n v="1346"/>
    <s v="Juillet"/>
    <n v="30"/>
    <x v="115"/>
    <s v="Rastotel"/>
    <m/>
    <m/>
    <m/>
    <m/>
    <m/>
    <m/>
    <m/>
    <m/>
  </r>
  <r>
    <n v="1431"/>
    <s v="Filius"/>
    <x v="72"/>
    <s v="H"/>
    <n v="1342"/>
    <s v="Février"/>
    <n v="12"/>
    <x v="130"/>
    <s v="Del Vilar"/>
    <m/>
    <m/>
    <m/>
    <m/>
    <m/>
    <m/>
    <m/>
    <m/>
  </r>
  <r>
    <n v="1321"/>
    <s v="Duorum Fratrum"/>
    <x v="73"/>
    <s v="H"/>
    <n v="1343"/>
    <s v="Décembre"/>
    <n v="12"/>
    <x v="131"/>
    <s v="Del Vilar"/>
    <m/>
    <s v="Rivo qui dessendit de Sancto Valico et Lantur versus Lamastra"/>
    <s v="Rivo de Comdoy"/>
    <s v="Territorio de La Ranselha"/>
    <s v="Territorio de Rissans"/>
    <m/>
    <m/>
    <m/>
  </r>
  <r>
    <n v="1322"/>
    <s v="Johannes"/>
    <x v="73"/>
    <s v="H"/>
    <n v="1343"/>
    <s v="Décembre"/>
    <n v="12"/>
    <x v="132"/>
    <s v="Del Vilar"/>
    <m/>
    <m/>
    <m/>
    <m/>
    <m/>
    <m/>
    <m/>
    <m/>
  </r>
  <r>
    <n v="1322"/>
    <s v="Johannes"/>
    <x v="73"/>
    <s v="H"/>
    <n v="1343"/>
    <s v="Décembre"/>
    <n v="12"/>
    <x v="133"/>
    <s v="Del Vilar"/>
    <m/>
    <m/>
    <m/>
    <m/>
    <m/>
    <m/>
    <m/>
    <m/>
  </r>
  <r>
    <n v="1492"/>
    <s v="Petrus"/>
    <x v="74"/>
    <s v="H"/>
    <n v="1342"/>
    <s v="Février"/>
    <s v="?"/>
    <x v="0"/>
    <m/>
    <s v="Sitas in tenementum de Las Gotas"/>
    <s v="Vua de extra nemus"/>
    <s v="Nemore de Las Gotas de Chanils"/>
    <m/>
    <m/>
    <m/>
    <m/>
    <s v="Quam aquisivit a Guillermo de Chanilhs condam"/>
  </r>
  <r>
    <n v="1492"/>
    <s v="Petrus"/>
    <x v="74"/>
    <s v="H"/>
    <n v="1342"/>
    <s v="Février"/>
    <s v="?"/>
    <x v="50"/>
    <s v="Del Beal"/>
    <m/>
    <m/>
    <m/>
    <m/>
    <m/>
    <m/>
    <m/>
    <m/>
  </r>
  <r>
    <n v="1503"/>
    <s v="Andree"/>
    <x v="74"/>
    <s v="H"/>
    <n v="1345"/>
    <s v="Novembre"/>
    <n v="6"/>
    <x v="73"/>
    <m/>
    <s v="Situm apud Villa Longia"/>
    <s v="Domo Guillermi Largeri de Villa Longia"/>
    <s v="Nemore de Chanilhs"/>
    <m/>
    <m/>
    <m/>
    <m/>
    <m/>
  </r>
  <r>
    <n v="1503"/>
    <s v="Andree"/>
    <x v="74"/>
    <s v="H"/>
    <n v="1345"/>
    <s v="Novembre"/>
    <n v="6"/>
    <x v="2"/>
    <m/>
    <s v="Situm apud Villa Longia"/>
    <s v="Domo Guillermi Largeri de Villa Longia"/>
    <s v="Nemore de Chanilhs"/>
    <m/>
    <m/>
    <m/>
    <m/>
    <m/>
  </r>
  <r>
    <n v="1503"/>
    <s v="Andree"/>
    <x v="74"/>
    <s v="H"/>
    <n v="1345"/>
    <s v="Novembre"/>
    <n v="6"/>
    <x v="2"/>
    <m/>
    <s v="Situm supra Fontem Charairina"/>
    <s v="Nemore de Chanilhs"/>
    <m/>
    <m/>
    <m/>
    <m/>
    <m/>
    <m/>
  </r>
  <r>
    <n v="1503"/>
    <s v="Andree"/>
    <x v="74"/>
    <s v="H"/>
    <n v="1345"/>
    <s v="Novembre"/>
    <n v="6"/>
    <x v="53"/>
    <m/>
    <s v="Sitam in territorio de Villa Longia"/>
    <s v="Nemore de Chanilhs"/>
    <s v="Terra Petri Curtilis"/>
    <s v="Terra Dens Guigos"/>
    <m/>
    <m/>
    <m/>
    <m/>
  </r>
  <r>
    <n v="1503"/>
    <s v="Andree"/>
    <x v="74"/>
    <s v="H"/>
    <n v="1345"/>
    <s v="Novembre"/>
    <n v="6"/>
    <x v="2"/>
    <m/>
    <s v="Situm apud Villa Longia"/>
    <s v="Ortis apellatis Los Foras"/>
    <s v="Nemore de Chanilhs"/>
    <m/>
    <m/>
    <m/>
    <m/>
    <m/>
  </r>
  <r>
    <n v="911"/>
    <s v="Johannes"/>
    <x v="75"/>
    <s v="H"/>
    <n v="1401"/>
    <s v="Octobre"/>
    <n v="8"/>
    <x v="7"/>
    <m/>
    <s v="Situm in loco Ville Nove Devesseti"/>
    <s v="Orto sito recto domui"/>
    <s v="A parte ventus Itinere publice dicti loci recte accedendo de domo ad domum sive castrum Devesseti"/>
    <s v="Orto Martoni Guigonelli"/>
    <s v="A parte occidentali recte accedendo ad nemus de Picharo quodam parete inter medio"/>
    <s v="Orto dicte Blessa quodam alia pariete inter medio a parte occidentali"/>
    <m/>
    <m/>
  </r>
  <r>
    <n v="911"/>
    <s v="Johannes"/>
    <x v="75"/>
    <s v="H"/>
    <n v="1401"/>
    <s v="Octobre"/>
    <n v="8"/>
    <x v="73"/>
    <m/>
    <s v="Situm in territorio Ville Nove Devesseti"/>
    <s v="Prato Johannus Appays donato a parte borte"/>
    <s v="Orto qui est ad manum domini a parte occidentali"/>
    <s v="Orto Girandi Virilhati"/>
    <s v="Patili contiguo prope iter publicum sub"/>
    <m/>
    <m/>
    <m/>
  </r>
  <r>
    <n v="911"/>
    <s v="Johannes"/>
    <x v="75"/>
    <s v="H"/>
    <n v="1401"/>
    <s v="Octobre"/>
    <n v="8"/>
    <x v="134"/>
    <s v="Las Fontetas"/>
    <m/>
    <m/>
    <m/>
    <m/>
    <m/>
    <m/>
    <m/>
    <m/>
  </r>
  <r>
    <n v="1541"/>
    <s v="Vitalis"/>
    <x v="75"/>
    <s v="H"/>
    <n v="1342"/>
    <s v="Février"/>
    <n v="17"/>
    <x v="7"/>
    <m/>
    <s v="Sitam apud Las Sanholas"/>
    <s v="Terra domini preceptoris cartina"/>
    <m/>
    <m/>
    <m/>
    <m/>
    <m/>
    <m/>
  </r>
  <r>
    <n v="1541"/>
    <s v="Vitalis"/>
    <x v="75"/>
    <s v="H"/>
    <n v="1342"/>
    <s v="Février"/>
    <n v="17"/>
    <x v="2"/>
    <m/>
    <m/>
    <s v="Domum suum"/>
    <m/>
    <m/>
    <m/>
    <m/>
    <m/>
    <m/>
  </r>
  <r>
    <n v="1541"/>
    <s v="Vitalis"/>
    <x v="75"/>
    <s v="H"/>
    <n v="1342"/>
    <s v="Février"/>
    <n v="17"/>
    <x v="8"/>
    <m/>
    <s v="Positam in loco de Las Sanholas"/>
    <s v="Sanholis Dens Fontelhos"/>
    <s v="Terra domus Devesseti"/>
    <m/>
    <m/>
    <m/>
    <m/>
    <m/>
  </r>
  <r>
    <n v="1541"/>
    <s v="Vitalis"/>
    <x v="75"/>
    <s v="H"/>
    <n v="1342"/>
    <s v="Février"/>
    <n v="17"/>
    <x v="4"/>
    <m/>
    <m/>
    <m/>
    <m/>
    <m/>
    <m/>
    <m/>
    <m/>
    <s v="Quod aquisivit a Johanne Pauleti"/>
  </r>
  <r>
    <n v="1541"/>
    <s v="Vitalis"/>
    <x v="75"/>
    <s v="H"/>
    <n v="1342"/>
    <s v="Février"/>
    <n v="17"/>
    <x v="135"/>
    <m/>
    <s v="Positam juxta pratum suum"/>
    <s v="Consta Salvacgia dicti Vitalis"/>
    <s v="Prato Johannis Brunelli"/>
    <m/>
    <m/>
    <m/>
    <m/>
    <m/>
  </r>
  <r>
    <n v="1541"/>
    <s v="Vitalis"/>
    <x v="75"/>
    <s v="H"/>
    <n v="1342"/>
    <s v="Février"/>
    <n v="17"/>
    <x v="4"/>
    <m/>
    <m/>
    <s v="Calma vocata Poleira"/>
    <s v="Calma de Lavar Deschas"/>
    <m/>
    <m/>
    <m/>
    <m/>
    <s v="Quod aquisivit de La Viletono"/>
  </r>
  <r>
    <n v="1542"/>
    <s v="Vitalis"/>
    <x v="75"/>
    <s v="H"/>
    <n v="1343"/>
    <m/>
    <s v="Die Sabati in festo Beati Johannis Evvangeliste"/>
    <x v="136"/>
    <s v="Salvagia"/>
    <m/>
    <s v="Prato suo"/>
    <s v="Terra Guartine domus Devesseti"/>
    <m/>
    <m/>
    <m/>
    <m/>
    <s v="Quam agricolas idem Vitalis"/>
  </r>
  <r>
    <n v="1571"/>
    <s v="Guillermis"/>
    <x v="75"/>
    <s v="H"/>
    <n v="1342"/>
    <s v="Février"/>
    <n v="19"/>
    <x v="7"/>
    <s v="Eius Uxoris"/>
    <s v="Situm apud la Valeta Raybrant"/>
    <s v="Domo Michaelis de la Valeta"/>
    <m/>
    <m/>
    <m/>
    <m/>
    <m/>
    <m/>
  </r>
  <r>
    <n v="1571"/>
    <s v="Guillermis"/>
    <x v="75"/>
    <s v="H"/>
    <n v="1342"/>
    <s v="Février"/>
    <n v="19"/>
    <x v="2"/>
    <s v="Leyra Velha"/>
    <s v="Situm in loco de la Valeta"/>
    <m/>
    <m/>
    <m/>
    <m/>
    <m/>
    <m/>
    <m/>
  </r>
  <r>
    <n v="1571"/>
    <s v="Guillermis"/>
    <x v="75"/>
    <s v="H"/>
    <n v="1342"/>
    <s v="Février"/>
    <n v="19"/>
    <x v="3"/>
    <m/>
    <s v="Sitam versus Lerin"/>
    <s v="Nemore de Lerin"/>
    <m/>
    <m/>
    <m/>
    <m/>
    <m/>
    <m/>
  </r>
  <r>
    <n v="1571"/>
    <s v="Guillermis"/>
    <x v="75"/>
    <s v="H"/>
    <n v="1342"/>
    <s v="Février"/>
    <n v="19"/>
    <x v="3"/>
    <m/>
    <s v="Sitam in succo de Gant"/>
    <m/>
    <m/>
    <m/>
    <m/>
    <m/>
    <m/>
    <m/>
  </r>
  <r>
    <n v="1571"/>
    <s v="Guillermis"/>
    <x v="75"/>
    <s v="H"/>
    <n v="1342"/>
    <s v="Février"/>
    <n v="19"/>
    <x v="3"/>
    <s v="Costa Bernart"/>
    <m/>
    <m/>
    <m/>
    <m/>
    <m/>
    <m/>
    <m/>
    <m/>
  </r>
  <r>
    <n v="1571"/>
    <s v="Guillermis"/>
    <x v="75"/>
    <s v="H"/>
    <n v="1342"/>
    <s v="Février"/>
    <n v="19"/>
    <x v="3"/>
    <s v="Leira Velha"/>
    <m/>
    <m/>
    <m/>
    <m/>
    <m/>
    <m/>
    <m/>
    <m/>
  </r>
  <r>
    <n v="1571"/>
    <s v="Guillermis"/>
    <x v="75"/>
    <s v="H"/>
    <n v="1342"/>
    <s v="Février"/>
    <n v="19"/>
    <x v="3"/>
    <s v="Lubac de Podio Drigido"/>
    <m/>
    <s v="Juxta terra Jacobi de la Valeta"/>
    <m/>
    <m/>
    <m/>
    <m/>
    <m/>
    <m/>
  </r>
  <r>
    <n v="1571"/>
    <s v="Guillermis"/>
    <x v="75"/>
    <s v="H"/>
    <n v="1342"/>
    <s v="Février"/>
    <n v="19"/>
    <x v="3"/>
    <m/>
    <s v="Sitam subtus Domum Jacobi de la Valeta"/>
    <m/>
    <m/>
    <m/>
    <m/>
    <m/>
    <m/>
    <m/>
  </r>
  <r>
    <n v="1571"/>
    <s v="Guillermis"/>
    <x v="75"/>
    <s v="H"/>
    <n v="1342"/>
    <s v="Février"/>
    <n v="19"/>
    <x v="6"/>
    <m/>
    <s v="Territorio et loco de la Valeta"/>
    <s v="Terra priodris Ruppispaule"/>
    <s v="Terra castri Belli Prandii"/>
    <s v="Terra castri Devesseti"/>
    <m/>
    <m/>
    <m/>
    <m/>
  </r>
  <r>
    <n v="1571"/>
    <s v="Guillermis"/>
    <x v="75"/>
    <s v="H"/>
    <n v="1342"/>
    <s v="Février"/>
    <n v="19"/>
    <x v="4"/>
    <m/>
    <s v="Sita apud Teysoneiras"/>
    <s v="Nemore de Teysoneiras"/>
    <m/>
    <m/>
    <m/>
    <m/>
    <m/>
    <m/>
  </r>
  <r>
    <n v="1571"/>
    <s v="Guillermis"/>
    <x v="75"/>
    <s v="H"/>
    <n v="1342"/>
    <s v="Février"/>
    <n v="19"/>
    <x v="15"/>
    <m/>
    <s v="Sita apud Teysoneiras"/>
    <s v="Nemore de Teysoneiras"/>
    <m/>
    <m/>
    <m/>
    <m/>
    <m/>
    <m/>
  </r>
  <r>
    <n v="1751"/>
    <s v="Caterina"/>
    <x v="75"/>
    <s v="F"/>
    <n v="1343"/>
    <s v="Mai"/>
    <n v="12"/>
    <x v="7"/>
    <m/>
    <s v="Sitam apud Villam Novam Devesseti"/>
    <s v="Domus Guillerme Filhote"/>
    <m/>
    <m/>
    <m/>
    <m/>
    <m/>
    <m/>
  </r>
  <r>
    <n v="1751"/>
    <s v="Caterina"/>
    <x v="75"/>
    <s v="F"/>
    <n v="1343"/>
    <s v="Mai"/>
    <n v="12"/>
    <x v="28"/>
    <m/>
    <s v="Sitam apud Villam Novam Devesseti"/>
    <s v="Prato Johannis Jordani"/>
    <m/>
    <m/>
    <m/>
    <m/>
    <m/>
    <m/>
  </r>
  <r>
    <n v="1751"/>
    <s v="Caterina"/>
    <x v="75"/>
    <s v="F"/>
    <n v="1343"/>
    <s v="Mai"/>
    <n v="12"/>
    <x v="28"/>
    <m/>
    <s v="Sitam apud Villam Novam Devesseti"/>
    <s v="Domo uxoris Gregorii Julianii"/>
    <m/>
    <m/>
    <m/>
    <m/>
    <m/>
    <m/>
  </r>
  <r>
    <n v="1751"/>
    <s v="Caterina"/>
    <x v="75"/>
    <s v="F"/>
    <n v="1343"/>
    <s v="Mai"/>
    <n v="12"/>
    <x v="61"/>
    <m/>
    <s v="Sita apud Faya Evesqual"/>
    <s v="Nemore de Faya Evesqual"/>
    <s v="Prato de Corolet"/>
    <m/>
    <m/>
    <m/>
    <m/>
    <m/>
  </r>
  <r>
    <n v="1751"/>
    <s v="Caterina"/>
    <x v="75"/>
    <s v="F"/>
    <n v="1343"/>
    <s v="Mai"/>
    <n v="12"/>
    <x v="95"/>
    <m/>
    <s v="Sita apud Faya Evesqual"/>
    <s v="Nemore de Faya Evesqual"/>
    <s v="Prato de Corolet"/>
    <m/>
    <m/>
    <m/>
    <m/>
    <m/>
  </r>
  <r>
    <n v="1751"/>
    <s v="Caterina"/>
    <x v="75"/>
    <s v="F"/>
    <n v="1343"/>
    <s v="Mai"/>
    <n v="12"/>
    <x v="4"/>
    <s v="Liberorum suorum"/>
    <m/>
    <s v="Prata Garnerii"/>
    <m/>
    <m/>
    <m/>
    <m/>
    <m/>
    <s v="Quod aquisivit maritus suis a vocata La Paula"/>
  </r>
  <r>
    <n v="1751"/>
    <s v="Caterina"/>
    <x v="75"/>
    <s v="F"/>
    <n v="1343"/>
    <s v="Mai"/>
    <n v="12"/>
    <x v="15"/>
    <s v="Liberorum suorum"/>
    <m/>
    <s v="Prata Garnerii"/>
    <m/>
    <m/>
    <m/>
    <m/>
    <m/>
    <s v="Quod aquisivit maritus suis a vocata La Paula"/>
  </r>
  <r>
    <n v="1751"/>
    <s v="Caterina"/>
    <x v="75"/>
    <s v="F"/>
    <n v="1343"/>
    <s v="Mai"/>
    <n v="12"/>
    <x v="8"/>
    <m/>
    <m/>
    <s v="Pasturale sua"/>
    <s v="Terra censina Garnerii"/>
    <m/>
    <m/>
    <m/>
    <m/>
    <s v="Ibidem assensatam"/>
  </r>
  <r>
    <n v="1751"/>
    <s v="Caterina"/>
    <x v="75"/>
    <s v="F"/>
    <n v="1343"/>
    <s v="Mai"/>
    <n v="12"/>
    <x v="137"/>
    <s v="Faya Evesqual"/>
    <m/>
    <m/>
    <m/>
    <m/>
    <m/>
    <m/>
    <m/>
    <m/>
  </r>
  <r>
    <n v="1751"/>
    <s v="Caterina"/>
    <x v="75"/>
    <s v="F"/>
    <n v="1343"/>
    <s v="Mai"/>
    <n v="12"/>
    <x v="138"/>
    <m/>
    <m/>
    <m/>
    <m/>
    <m/>
    <m/>
    <m/>
    <m/>
    <m/>
  </r>
  <r>
    <n v="1831"/>
    <s v="Johanneta"/>
    <x v="75"/>
    <s v="H"/>
    <n v="1343"/>
    <m/>
    <s v="Die Sabati in festo Beati Johannis Anthoni"/>
    <x v="4"/>
    <s v="Cumbanrias"/>
    <m/>
    <s v="Terra cartina domus Devesseti"/>
    <s v="Prato Guillermi Salvaynh in quo prato contiguatur pratum quod havuit a Guillermo lo sub pro Cambus factis inter eos ad ortos qui erant dicte Johannete"/>
    <m/>
    <m/>
    <m/>
    <m/>
    <m/>
  </r>
  <r>
    <n v="1831"/>
    <s v="Johanneta"/>
    <x v="75"/>
    <s v="H"/>
    <n v="1343"/>
    <m/>
    <s v="Die Sabati in festo Beati Johannis Anthoni"/>
    <x v="63"/>
    <m/>
    <s v="Pratum suum"/>
    <m/>
    <m/>
    <m/>
    <m/>
    <m/>
    <m/>
    <m/>
  </r>
  <r>
    <n v="1831"/>
    <s v="Johanneta"/>
    <x v="75"/>
    <s v="H"/>
    <n v="1343"/>
    <m/>
    <s v="Die Sabati in festo Beati Johannis Anthoni"/>
    <x v="91"/>
    <m/>
    <s v="Supra nemus Devesseti"/>
    <s v="Nemore Devesseti"/>
    <m/>
    <m/>
    <m/>
    <m/>
    <m/>
    <m/>
  </r>
  <r>
    <n v="1831"/>
    <s v="Johanneta"/>
    <x v="75"/>
    <s v="H"/>
    <n v="1343"/>
    <m/>
    <s v="Die Sabati in festo Beati Johannis Anthoni"/>
    <x v="120"/>
    <s v="Las Putetas"/>
    <m/>
    <m/>
    <m/>
    <m/>
    <m/>
    <m/>
    <m/>
    <m/>
  </r>
  <r>
    <n v="1493"/>
    <s v="Jacobus"/>
    <x v="76"/>
    <s v="H"/>
    <n v="1342"/>
    <s v="Février"/>
    <s v="?"/>
    <x v="4"/>
    <s v="Lone"/>
    <m/>
    <s v="Aqua de Linho"/>
    <s v="Pratis de Podio Brunent"/>
    <m/>
    <m/>
    <m/>
    <m/>
    <m/>
  </r>
  <r>
    <n v="1493"/>
    <s v="Jacobus"/>
    <x v="76"/>
    <s v="H"/>
    <n v="1342"/>
    <s v="Février"/>
    <s v="?"/>
    <x v="4"/>
    <s v="Sanha Santa"/>
    <m/>
    <s v="Prato de Podio Brunent"/>
    <s v="Prato Johannis Botena de Las Eiras"/>
    <m/>
    <m/>
    <m/>
    <m/>
    <m/>
  </r>
  <r>
    <n v="1501"/>
    <s v="Johannes et Joheannes Guigonis + Peyrononis"/>
    <x v="76"/>
    <s v="H"/>
    <n v="1342"/>
    <s v="Février"/>
    <s v="?"/>
    <x v="124"/>
    <s v="Las Costas"/>
    <s v="Situm in territotio de Monneta"/>
    <s v="Aqua de Lionoel"/>
    <s v="Territorio de Villa Lonia"/>
    <m/>
    <m/>
    <m/>
    <m/>
    <m/>
  </r>
  <r>
    <n v="1502"/>
    <s v="Luca"/>
    <x v="76"/>
    <s v="F"/>
    <n v="1342"/>
    <s v="Février"/>
    <s v="?"/>
    <x v="2"/>
    <m/>
    <s v="Situm in loco de Villalonia"/>
    <s v="Orto Phelise de Villalonia"/>
    <s v="Orto liberorum Jacobi Ruelli condam"/>
    <m/>
    <m/>
    <m/>
    <m/>
    <m/>
  </r>
  <r>
    <n v="1502"/>
    <s v="Luca"/>
    <x v="76"/>
    <s v="F"/>
    <n v="1342"/>
    <s v="Février"/>
    <s v="?"/>
    <x v="73"/>
    <m/>
    <s v="Situm in loco de Villalonia"/>
    <s v="Domo Guillermi Largeri"/>
    <m/>
    <m/>
    <m/>
    <m/>
    <m/>
    <m/>
  </r>
  <r>
    <n v="1441"/>
    <s v="Stephanis et Girandus"/>
    <x v="77"/>
    <s v="H"/>
    <n v="1345"/>
    <s v="Octobre"/>
    <n v="23"/>
    <x v="139"/>
    <s v="Viridario"/>
    <m/>
    <m/>
    <m/>
    <m/>
    <m/>
    <m/>
    <m/>
    <m/>
  </r>
  <r>
    <n v="1581"/>
    <s v="Michael"/>
    <x v="78"/>
    <s v="H"/>
    <n v="1342"/>
    <s v="Février"/>
    <n v="19"/>
    <x v="7"/>
    <s v="De Vunha"/>
    <m/>
    <m/>
    <m/>
    <m/>
    <m/>
    <m/>
    <m/>
    <m/>
  </r>
  <r>
    <n v="1581"/>
    <s v="Michael"/>
    <x v="78"/>
    <s v="H"/>
    <n v="1342"/>
    <s v="Février"/>
    <n v="19"/>
    <x v="24"/>
    <s v="De Martino"/>
    <m/>
    <m/>
    <m/>
    <m/>
    <m/>
    <m/>
    <m/>
    <m/>
  </r>
  <r>
    <n v="1581"/>
    <s v="Michael"/>
    <x v="78"/>
    <s v="H"/>
    <n v="1342"/>
    <s v="Février"/>
    <n v="19"/>
    <x v="6"/>
    <m/>
    <m/>
    <s v="Tenemento de Sirgras"/>
    <s v="Prato de Garneir"/>
    <m/>
    <m/>
    <m/>
    <m/>
    <s v="Omni parte dicto tenemento quo pernenit Peyrero de Montabonel"/>
  </r>
  <r>
    <n v="1581"/>
    <s v="Michael"/>
    <x v="78"/>
    <s v="H"/>
    <n v="1342"/>
    <s v="Février"/>
    <n v="19"/>
    <x v="6"/>
    <s v="Petri eius fratri"/>
    <s v="Loco de Las Fontetas"/>
    <m/>
    <m/>
    <m/>
    <m/>
    <m/>
    <m/>
    <m/>
  </r>
  <r>
    <n v="1581"/>
    <s v="Michael"/>
    <x v="78"/>
    <s v="H"/>
    <n v="1342"/>
    <s v="Février"/>
    <n v="19"/>
    <x v="140"/>
    <s v="Petri eius fratri"/>
    <s v="Loco de Vunha"/>
    <s v="Loco de Las Fontetas"/>
    <m/>
    <m/>
    <m/>
    <m/>
    <m/>
    <m/>
  </r>
  <r>
    <n v="1581"/>
    <s v="Michael"/>
    <x v="78"/>
    <s v="H"/>
    <n v="1342"/>
    <s v="Février"/>
    <n v="19"/>
    <x v="3"/>
    <m/>
    <s v="Sita apud Cumbanrias"/>
    <s v="Prato de Lanibaysena"/>
    <m/>
    <m/>
    <m/>
    <m/>
    <m/>
    <s v="Quam becgace petiam ad huc sunt in quadam nota quasi in principio huius terrerii in qua Guillermis de Las Fontetas nomine dictorum fratrum confessus fueruat tenere a dicta domo"/>
  </r>
  <r>
    <n v="1621"/>
    <s v="Ariberius + Petris"/>
    <x v="79"/>
    <s v="H"/>
    <n v="1343"/>
    <s v="Avril"/>
    <n v="4"/>
    <x v="124"/>
    <s v="La Cumbeta"/>
    <m/>
    <s v="Terra et prato Petri de Mon Reont"/>
    <s v="Terra et prato Petri de Mon Reont"/>
    <m/>
    <m/>
    <m/>
    <m/>
    <m/>
  </r>
  <r>
    <m/>
    <m/>
    <x v="79"/>
    <m/>
    <m/>
    <m/>
    <m/>
    <x v="141"/>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n v="1292"/>
    <m/>
    <s v="Martinus"/>
    <s v="Pelachecha"/>
    <x v="0"/>
    <m/>
    <s v="Filius Stephani Pelachacha d'Arcens"/>
    <s v="Nomine Vitalis fratris sui"/>
    <s v="H"/>
    <n v="1343"/>
    <s v="Décembre"/>
    <n v="10"/>
    <s v="Raynaud de Fay"/>
    <s v="Promisit esse fidelis tenementarius domus Devesseti"/>
    <x v="0"/>
    <m/>
    <m/>
    <m/>
    <m/>
    <m/>
    <m/>
    <s v="Constractus emphiteotarii"/>
    <x v="0"/>
    <x v="0"/>
    <x v="0"/>
    <x v="0"/>
    <x v="0"/>
    <x v="0"/>
    <x v="0"/>
    <x v="0"/>
    <x v="0"/>
    <x v="0"/>
    <x v="0"/>
    <s v="Non"/>
    <x v="0"/>
    <x v="0"/>
    <x v="0"/>
    <x v="0"/>
    <x v="0"/>
    <x v="0"/>
    <x v="0"/>
    <x v="0"/>
    <x v="0"/>
    <x v="0"/>
    <x v="0"/>
    <x v="0"/>
    <x v="0"/>
    <x v="0"/>
    <x v="0"/>
    <x v="0"/>
    <x v="0"/>
    <x v="0"/>
    <x v="0"/>
    <x v="0"/>
    <x v="0"/>
    <x v="0"/>
    <x v="0"/>
    <x v="0"/>
    <x v="0"/>
    <x v="0"/>
    <x v="0"/>
    <x v="0"/>
    <x v="0"/>
    <x v="0"/>
    <m/>
    <s v="Terre petiam"/>
    <m/>
    <m/>
    <m/>
    <n v="1"/>
    <n v="0"/>
    <n v="0"/>
    <n v="0"/>
    <n v="0"/>
    <n v="0"/>
    <n v="0"/>
    <n v="0"/>
    <n v="0"/>
    <n v="0"/>
    <n v="0"/>
    <n v="0"/>
    <n v="0"/>
    <n v="0"/>
    <n v="0"/>
    <n v="0"/>
    <n v="0"/>
    <n v="0"/>
    <n v="0"/>
    <n v="0"/>
    <n v="0"/>
    <n v="0"/>
    <n v="0"/>
    <n v="0"/>
    <m/>
    <n v="1"/>
    <n v="0"/>
    <n v="0"/>
    <n v="0"/>
    <n v="0"/>
    <m/>
    <s v="Toussaint"/>
    <m/>
    <m/>
    <s v="Apud Avenas, in domo dicti Poncii"/>
    <s v="Girandus Girandi de Pulinaco"/>
    <s v="Fratre Johane Meruli"/>
    <s v="Guillermo Grosseti"/>
    <s v="Vitaloro filio Johannis Ruffi de Aymoneto de Sancto Agrippavio"/>
    <m/>
    <m/>
    <m/>
  </r>
  <r>
    <n v="1271"/>
    <m/>
    <s v="Poncius"/>
    <s v="D'Avenas"/>
    <x v="1"/>
    <m/>
    <m/>
    <m/>
    <s v="H"/>
    <n v="1343"/>
    <s v="Décembre"/>
    <n v="10"/>
    <s v="Raynaud de Fay"/>
    <s v="Homo-licgius"/>
    <x v="0"/>
    <m/>
    <m/>
    <m/>
    <m/>
    <m/>
    <m/>
    <m/>
    <x v="1"/>
    <x v="1"/>
    <x v="1"/>
    <x v="0"/>
    <x v="0"/>
    <x v="0"/>
    <x v="0"/>
    <x v="1"/>
    <x v="0"/>
    <x v="0"/>
    <x v="0"/>
    <s v="Non"/>
    <x v="0"/>
    <x v="0"/>
    <x v="0"/>
    <x v="0"/>
    <x v="0"/>
    <x v="0"/>
    <x v="0"/>
    <x v="1"/>
    <x v="0"/>
    <x v="0"/>
    <x v="0"/>
    <x v="0"/>
    <x v="0"/>
    <x v="0"/>
    <x v="0"/>
    <x v="1"/>
    <x v="0"/>
    <x v="0"/>
    <x v="0"/>
    <x v="0"/>
    <x v="0"/>
    <x v="0"/>
    <x v="0"/>
    <x v="0"/>
    <x v="0"/>
    <x v="0"/>
    <x v="0"/>
    <x v="0"/>
    <x v="0"/>
    <x v="0"/>
    <m/>
    <s v="2 domus + 2 orti + 3 petiae + 1 pratum + 2 vineae"/>
    <m/>
    <m/>
    <s v="Brione"/>
    <n v="0.5"/>
    <n v="0"/>
    <n v="0"/>
    <n v="0"/>
    <n v="0"/>
    <n v="0"/>
    <n v="0"/>
    <n v="0"/>
    <n v="0"/>
    <n v="0"/>
    <n v="0"/>
    <n v="0"/>
    <n v="0"/>
    <n v="1"/>
    <n v="0"/>
    <n v="0"/>
    <n v="0"/>
    <n v="0"/>
    <n v="0"/>
    <n v="1"/>
    <n v="0"/>
    <n v="0"/>
    <n v="0"/>
    <n v="0"/>
    <m/>
    <n v="8.3333333333333329E-2"/>
    <n v="0"/>
    <n v="0"/>
    <n v="0"/>
    <n v="0"/>
    <m/>
    <s v="Toussaint"/>
    <s v="De dominio et senhoria"/>
    <s v="Domus Devesseti"/>
    <s v="Apud Avenas, in domo dicti Poncii"/>
    <s v="Girandus Girandi de Pulinaco"/>
    <s v="Fratre Johane Meruli"/>
    <s v="Guillermo Grosseti"/>
    <s v="Vitaloro filio Johannis Ruffi de Aymoneto de Sancto Agrippavio"/>
    <m/>
    <m/>
    <m/>
  </r>
  <r>
    <n v="1272"/>
    <m/>
    <s v="Martinus et Johannes"/>
    <s v="D'Avenas"/>
    <x v="1"/>
    <m/>
    <s v="Johannes filius Michaelis d'Avenas condam et nepos dicti Martini"/>
    <s v="Johannis nomine fratrum et sororum suorum"/>
    <s v="G"/>
    <n v="1343"/>
    <s v="Décembre"/>
    <n v="10"/>
    <s v="Raynaud de Fay"/>
    <s v="Homo-licgius"/>
    <x v="0"/>
    <m/>
    <m/>
    <m/>
    <m/>
    <m/>
    <m/>
    <m/>
    <x v="2"/>
    <x v="2"/>
    <x v="2"/>
    <x v="1"/>
    <x v="0"/>
    <x v="0"/>
    <x v="0"/>
    <x v="1"/>
    <x v="0"/>
    <x v="0"/>
    <x v="0"/>
    <s v="Non"/>
    <x v="0"/>
    <x v="0"/>
    <x v="0"/>
    <x v="0"/>
    <x v="0"/>
    <x v="0"/>
    <x v="0"/>
    <x v="2"/>
    <x v="0"/>
    <x v="0"/>
    <x v="0"/>
    <x v="0"/>
    <x v="0"/>
    <x v="0"/>
    <x v="0"/>
    <x v="2"/>
    <x v="0"/>
    <x v="0"/>
    <x v="0"/>
    <x v="0"/>
    <x v="0"/>
    <x v="0"/>
    <x v="0"/>
    <x v="0"/>
    <x v="0"/>
    <x v="0"/>
    <x v="0"/>
    <x v="0"/>
    <x v="0"/>
    <x v="1"/>
    <m/>
    <s v="Domos + possessiones + petia + pratum"/>
    <s v="Apud Avenas et in loco et territorio eiusdem"/>
    <s v="Frères et sœurs"/>
    <s v="Brione"/>
    <n v="0.5"/>
    <n v="0"/>
    <n v="0"/>
    <n v="0"/>
    <n v="0"/>
    <n v="0"/>
    <n v="0"/>
    <n v="0"/>
    <n v="0"/>
    <n v="0"/>
    <n v="0"/>
    <n v="0"/>
    <n v="0"/>
    <n v="0"/>
    <n v="0"/>
    <n v="0"/>
    <n v="1"/>
    <n v="0"/>
    <n v="0"/>
    <n v="0"/>
    <n v="0"/>
    <n v="0"/>
    <n v="0"/>
    <n v="0"/>
    <m/>
    <n v="8.3333333333333329E-2"/>
    <n v="0"/>
    <n v="0"/>
    <n v="0"/>
    <n v="0"/>
    <m/>
    <s v="Toussaint"/>
    <s v="De dominio et senhoria"/>
    <s v="Castri Devesseti"/>
    <s v="Apud Avenas, in domo dicti Poncii"/>
    <s v="Girandus Girandi de Pulinaco"/>
    <s v="Fratre Johane Meruli"/>
    <s v="Guillermo Grosseti"/>
    <s v="Vitaloro filio Johannis Ruffi de Aymoneto de Sancto Agrippavio"/>
    <m/>
    <m/>
    <m/>
  </r>
  <r>
    <n v="1281"/>
    <m/>
    <s v="Johannis"/>
    <s v="D'Avenas"/>
    <x v="1"/>
    <m/>
    <m/>
    <m/>
    <s v="H"/>
    <n v="1343"/>
    <s v="Décembre"/>
    <n v="10"/>
    <s v="Raynaud de Fay"/>
    <s v="Homo-licgius"/>
    <x v="0"/>
    <m/>
    <m/>
    <m/>
    <m/>
    <m/>
    <m/>
    <s v="Constractus emphiteotarii"/>
    <x v="2"/>
    <x v="2"/>
    <x v="2"/>
    <x v="1"/>
    <x v="0"/>
    <x v="0"/>
    <x v="1"/>
    <x v="1"/>
    <x v="1"/>
    <x v="1"/>
    <x v="0"/>
    <s v="Non"/>
    <x v="0"/>
    <x v="0"/>
    <x v="0"/>
    <x v="0"/>
    <x v="0"/>
    <x v="0"/>
    <x v="0"/>
    <x v="2"/>
    <x v="0"/>
    <x v="0"/>
    <x v="0"/>
    <x v="0"/>
    <x v="0"/>
    <x v="0"/>
    <x v="0"/>
    <x v="2"/>
    <x v="0"/>
    <x v="0"/>
    <x v="0"/>
    <x v="0"/>
    <x v="0"/>
    <x v="0"/>
    <x v="0"/>
    <x v="0"/>
    <x v="0"/>
    <x v="0"/>
    <x v="0"/>
    <x v="0"/>
    <x v="0"/>
    <x v="0"/>
    <m/>
    <s v="Domos + possessiones + petiam"/>
    <s v="Loco et territorio d'Avenas"/>
    <m/>
    <m/>
    <n v="0"/>
    <n v="0"/>
    <n v="0"/>
    <n v="0"/>
    <n v="0"/>
    <n v="0"/>
    <n v="0"/>
    <n v="0"/>
    <n v="0"/>
    <n v="0"/>
    <n v="0"/>
    <n v="0"/>
    <n v="0"/>
    <n v="0"/>
    <n v="0"/>
    <n v="0"/>
    <n v="0"/>
    <n v="0"/>
    <n v="0"/>
    <n v="0"/>
    <n v="0"/>
    <n v="0"/>
    <n v="0"/>
    <n v="0"/>
    <m/>
    <n v="0"/>
    <n v="3"/>
    <n v="0"/>
    <n v="0"/>
    <n v="0"/>
    <m/>
    <s v="Toussaint"/>
    <m/>
    <m/>
    <s v="Apud Avenas, in domo dicti Poncii"/>
    <s v="Girandus Girandi de Pulinaco"/>
    <s v="Fratre Johane Meruli"/>
    <s v="Guillermo Grosseti"/>
    <s v="Vitaloro filio Johannis Ruffi de Aymoneto de Sancto Agrippavio"/>
    <m/>
    <m/>
    <m/>
  </r>
  <r>
    <n v="1284"/>
    <m/>
    <s v="Laurentia"/>
    <s v="De la Gardeta"/>
    <x v="1"/>
    <m/>
    <s v="Uxor Michaelis de la Gardeta condam"/>
    <s v="Nomine Agnetis filie sue"/>
    <s v="F"/>
    <n v="1343"/>
    <s v="Décembre"/>
    <n v="10"/>
    <s v="Raynaud de Fay"/>
    <s v="Promisit esse fidelis tenementarius domus Devesseti"/>
    <x v="0"/>
    <m/>
    <m/>
    <m/>
    <m/>
    <m/>
    <m/>
    <s v="Constractus emphiteotarii"/>
    <x v="3"/>
    <x v="3"/>
    <x v="1"/>
    <x v="0"/>
    <x v="0"/>
    <x v="0"/>
    <x v="0"/>
    <x v="2"/>
    <x v="0"/>
    <x v="0"/>
    <x v="0"/>
    <s v="Non"/>
    <x v="0"/>
    <x v="0"/>
    <x v="0"/>
    <x v="0"/>
    <x v="0"/>
    <x v="0"/>
    <x v="0"/>
    <x v="0"/>
    <x v="0"/>
    <x v="0"/>
    <x v="0"/>
    <x v="0"/>
    <x v="0"/>
    <x v="0"/>
    <x v="0"/>
    <x v="0"/>
    <x v="0"/>
    <x v="0"/>
    <x v="0"/>
    <x v="0"/>
    <x v="0"/>
    <x v="0"/>
    <x v="0"/>
    <x v="0"/>
    <x v="0"/>
    <x v="0"/>
    <x v="0"/>
    <x v="0"/>
    <x v="0"/>
    <x v="0"/>
    <m/>
    <s v="1 domus + 3 ortum + 3 petiam terre + 2 terre + 1 pratum"/>
    <m/>
    <s v="Fille"/>
    <m/>
    <n v="0"/>
    <n v="0"/>
    <n v="0"/>
    <n v="0"/>
    <n v="0"/>
    <n v="0"/>
    <n v="0"/>
    <n v="0"/>
    <n v="0"/>
    <n v="0"/>
    <n v="0"/>
    <n v="0"/>
    <n v="0"/>
    <n v="0"/>
    <n v="0"/>
    <n v="0"/>
    <n v="0"/>
    <n v="0"/>
    <n v="0"/>
    <n v="0"/>
    <n v="0"/>
    <n v="0"/>
    <n v="0"/>
    <n v="0"/>
    <m/>
    <n v="0"/>
    <n v="3"/>
    <n v="0"/>
    <n v="0"/>
    <n v="0"/>
    <m/>
    <s v="Toussaint"/>
    <m/>
    <m/>
    <s v="Apud Avenas, in domo dicti Poncii"/>
    <s v="Girandus Girandi de Pulinaco"/>
    <s v="Fratre Johane Meruli"/>
    <s v="Guillermo Grosseti"/>
    <s v="Vitaloro filio Johannis Ruffi de Aymoneto de Sancto Agrippavio"/>
    <m/>
    <m/>
    <m/>
  </r>
  <r>
    <n v="1291"/>
    <m/>
    <s v="Petrus"/>
    <s v="Aymarii Del Chaylar"/>
    <x v="1"/>
    <m/>
    <m/>
    <m/>
    <s v="H"/>
    <n v="1343"/>
    <s v="Décembre"/>
    <n v="10"/>
    <s v="Raynaud de Fay"/>
    <s v="Promisit esse fidelis domui Devesseti"/>
    <x v="0"/>
    <m/>
    <m/>
    <m/>
    <m/>
    <m/>
    <m/>
    <s v="Constractus emphiteotarii"/>
    <x v="0"/>
    <x v="0"/>
    <x v="0"/>
    <x v="0"/>
    <x v="0"/>
    <x v="0"/>
    <x v="0"/>
    <x v="0"/>
    <x v="0"/>
    <x v="0"/>
    <x v="0"/>
    <s v="Non"/>
    <x v="0"/>
    <x v="0"/>
    <x v="0"/>
    <x v="0"/>
    <x v="0"/>
    <x v="0"/>
    <x v="0"/>
    <x v="0"/>
    <x v="0"/>
    <x v="0"/>
    <x v="0"/>
    <x v="0"/>
    <x v="0"/>
    <x v="0"/>
    <x v="0"/>
    <x v="0"/>
    <x v="0"/>
    <x v="0"/>
    <x v="0"/>
    <x v="0"/>
    <x v="0"/>
    <x v="0"/>
    <x v="0"/>
    <x v="0"/>
    <x v="0"/>
    <x v="0"/>
    <x v="0"/>
    <x v="0"/>
    <x v="0"/>
    <x v="0"/>
    <m/>
    <s v="Petiam terre"/>
    <m/>
    <m/>
    <m/>
    <n v="0"/>
    <n v="0"/>
    <n v="0"/>
    <n v="0"/>
    <n v="0"/>
    <n v="0"/>
    <n v="0"/>
    <n v="0"/>
    <n v="0"/>
    <n v="0"/>
    <n v="0"/>
    <n v="0"/>
    <n v="0"/>
    <n v="0"/>
    <n v="0"/>
    <n v="0"/>
    <n v="0"/>
    <n v="0"/>
    <n v="0"/>
    <n v="0"/>
    <n v="0"/>
    <n v="0"/>
    <n v="0"/>
    <n v="0"/>
    <m/>
    <n v="0.25"/>
    <n v="0"/>
    <n v="0"/>
    <n v="0"/>
    <n v="0"/>
    <m/>
    <s v="Toussaint"/>
    <m/>
    <m/>
    <s v="Apud Avenas, in domo dicti Poncii"/>
    <s v="Girandus Girandi de Pulinaco"/>
    <s v="Fratre Johane Meruli"/>
    <s v="Guillermo Grosseti"/>
    <s v="Vitaloro filio Johannis Ruffi de Aymoneto de Sancto Agrippavio"/>
    <m/>
    <m/>
    <m/>
  </r>
  <r>
    <n v="1171"/>
    <m/>
    <s v="Johannes"/>
    <s v="Sanhas"/>
    <x v="2"/>
    <m/>
    <s v="Filius Martonis Sanhas De Brusco"/>
    <m/>
    <s v="H"/>
    <n v="1343"/>
    <s v="Décembre"/>
    <n v="13"/>
    <s v="Raynaud de Fay"/>
    <s v="Promisit esse fidelis tenementarius domus Devesseti"/>
    <x v="0"/>
    <m/>
    <m/>
    <m/>
    <m/>
    <m/>
    <m/>
    <m/>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33333333333333331"/>
    <n v="1"/>
    <n v="0"/>
    <n v="0"/>
    <n v="0"/>
    <m/>
    <s v="Toussaint"/>
    <m/>
    <m/>
    <s v="Devesset, in quoquina"/>
    <s v="Girandus Girandi de Pulinaco"/>
    <s v="Fratre Johanne Meruli"/>
    <s v="Petro Maipino"/>
    <s v="Guillermo Grosseti"/>
    <m/>
    <m/>
    <m/>
  </r>
  <r>
    <n v="1792"/>
    <m/>
    <s v="Vitalis"/>
    <s v="De la Chalin"/>
    <x v="3"/>
    <m/>
    <m/>
    <m/>
    <s v="H"/>
    <n v="1343"/>
    <s v="Janvier"/>
    <n v="13"/>
    <s v="Raynaud de Fay"/>
    <s v="Homo-licgius, justitabilis et expletabilis"/>
    <x v="0"/>
    <s v="Non"/>
    <s v="Oui"/>
    <s v="Oui"/>
    <s v="Oui"/>
    <s v="Non"/>
    <m/>
    <s v="Constractus emphiteotarii"/>
    <x v="3"/>
    <x v="4"/>
    <x v="2"/>
    <x v="1"/>
    <x v="1"/>
    <x v="1"/>
    <x v="1"/>
    <x v="1"/>
    <x v="0"/>
    <x v="0"/>
    <x v="0"/>
    <s v="Oui"/>
    <x v="0"/>
    <x v="0"/>
    <x v="0"/>
    <x v="0"/>
    <x v="0"/>
    <x v="0"/>
    <x v="0"/>
    <x v="0"/>
    <x v="0"/>
    <x v="0"/>
    <x v="0"/>
    <x v="0"/>
    <x v="1"/>
    <x v="0"/>
    <x v="0"/>
    <x v="0"/>
    <x v="0"/>
    <x v="0"/>
    <x v="0"/>
    <x v="0"/>
    <x v="0"/>
    <x v="0"/>
    <x v="0"/>
    <x v="0"/>
    <x v="0"/>
    <x v="0"/>
    <x v="0"/>
    <x v="0"/>
    <x v="0"/>
    <x v="1"/>
    <m/>
    <s v="Domus + possessiones + pratum + tenementorium"/>
    <s v="Loco et territorio de Chalma prope Chaputetum"/>
    <m/>
    <s v="Devesset"/>
    <n v="1"/>
    <n v="0"/>
    <n v="0"/>
    <n v="0"/>
    <n v="0"/>
    <n v="0"/>
    <n v="7.5"/>
    <n v="1"/>
    <n v="0"/>
    <n v="0"/>
    <n v="0"/>
    <n v="0"/>
    <n v="0"/>
    <n v="7.5"/>
    <n v="0"/>
    <n v="0"/>
    <n v="0"/>
    <n v="0"/>
    <n v="0"/>
    <n v="0"/>
    <n v="0"/>
    <n v="0"/>
    <n v="0"/>
    <n v="0"/>
    <s v="Domus + pratum + tenementarium"/>
    <n v="4.166666666666667"/>
    <n v="0"/>
    <n v="0"/>
    <n v="0"/>
    <n v="0.16666666666666666"/>
    <s v="Censu et talha"/>
    <s v="Toussaint"/>
    <m/>
    <m/>
    <s v="Devesset, in turre supra portam"/>
    <s v="Girandus Girandi de Pulinaco"/>
    <s v="Petro de Monte Rotondo"/>
    <s v="Petro Carbonis de Sancto Agrippano"/>
    <s v="Stephano Solherii"/>
    <m/>
    <m/>
    <m/>
  </r>
  <r>
    <n v="1801"/>
    <m/>
    <s v="Petrus et Armandos"/>
    <s v="De la Chalin"/>
    <x v="3"/>
    <m/>
    <s v="Petrus filius Guillermi de la Chalin condam et Armandos nepos Guillermi de la Chalin condam"/>
    <m/>
    <s v="G"/>
    <n v="1343"/>
    <s v="Janvier"/>
    <n v="13"/>
    <s v="Raynaud de Fay"/>
    <s v="Promisit esse fidelis domui Devesseti"/>
    <x v="0"/>
    <m/>
    <m/>
    <m/>
    <m/>
    <m/>
    <m/>
    <s v="Constractus emphiteotarii"/>
    <x v="0"/>
    <x v="0"/>
    <x v="0"/>
    <x v="0"/>
    <x v="0"/>
    <x v="0"/>
    <x v="0"/>
    <x v="1"/>
    <x v="0"/>
    <x v="0"/>
    <x v="0"/>
    <s v="Non"/>
    <x v="1"/>
    <x v="0"/>
    <x v="0"/>
    <x v="0"/>
    <x v="0"/>
    <x v="0"/>
    <x v="0"/>
    <x v="0"/>
    <x v="0"/>
    <x v="0"/>
    <x v="0"/>
    <x v="0"/>
    <x v="0"/>
    <x v="0"/>
    <x v="0"/>
    <x v="0"/>
    <x v="0"/>
    <x v="0"/>
    <x v="0"/>
    <x v="0"/>
    <x v="0"/>
    <x v="0"/>
    <x v="0"/>
    <x v="0"/>
    <x v="0"/>
    <x v="0"/>
    <x v="0"/>
    <x v="1"/>
    <x v="0"/>
    <x v="0"/>
    <m/>
    <s v="Calmum + mansum"/>
    <m/>
    <m/>
    <s v="Devesset"/>
    <n v="0"/>
    <n v="0"/>
    <n v="0"/>
    <n v="0"/>
    <n v="0"/>
    <n v="0"/>
    <n v="5"/>
    <n v="1"/>
    <n v="0"/>
    <n v="0"/>
    <n v="0"/>
    <n v="0"/>
    <n v="1"/>
    <n v="0.5"/>
    <n v="0"/>
    <n v="0"/>
    <n v="0"/>
    <n v="0"/>
    <n v="0"/>
    <n v="0"/>
    <n v="0"/>
    <n v="0"/>
    <n v="0"/>
    <n v="0"/>
    <s v="Mansum + calmam"/>
    <n v="6.166666666666667"/>
    <n v="0"/>
    <n v="0"/>
    <n v="0"/>
    <n v="0"/>
    <m/>
    <s v="Toussaint"/>
    <m/>
    <m/>
    <s v="Devesset, in turre supra portam"/>
    <s v="Girandus Girandi de Pulinaco"/>
    <s v="Petro de Monte Rotondo"/>
    <s v="Petro Carbonis de Sancto Agrippano"/>
    <s v="Stephano Solherii"/>
    <m/>
    <m/>
    <m/>
  </r>
  <r>
    <n v="142"/>
    <m/>
    <s v="Girandus"/>
    <s v="Fayni"/>
    <x v="4"/>
    <m/>
    <m/>
    <m/>
    <s v="H"/>
    <n v="1342"/>
    <s v="Mars"/>
    <n v="17"/>
    <s v="Raynaud de Fay"/>
    <s v="Homo-licgius, justitabilis et expletabilis"/>
    <x v="1"/>
    <s v="Non"/>
    <s v="Oui"/>
    <s v="Oui"/>
    <s v="Oui"/>
    <s v="Non"/>
    <m/>
    <m/>
    <x v="2"/>
    <x v="2"/>
    <x v="2"/>
    <x v="1"/>
    <x v="1"/>
    <x v="1"/>
    <x v="1"/>
    <x v="1"/>
    <x v="0"/>
    <x v="1"/>
    <x v="1"/>
    <s v="Oui"/>
    <x v="0"/>
    <x v="0"/>
    <x v="0"/>
    <x v="0"/>
    <x v="0"/>
    <x v="0"/>
    <x v="0"/>
    <x v="0"/>
    <x v="0"/>
    <x v="0"/>
    <x v="0"/>
    <x v="0"/>
    <x v="0"/>
    <x v="0"/>
    <x v="0"/>
    <x v="0"/>
    <x v="0"/>
    <x v="0"/>
    <x v="0"/>
    <x v="0"/>
    <x v="0"/>
    <x v="0"/>
    <x v="0"/>
    <x v="0"/>
    <x v="0"/>
    <x v="0"/>
    <x v="0"/>
    <x v="0"/>
    <x v="0"/>
    <x v="1"/>
    <m/>
    <s v="Possessiones + terra + pasturalia"/>
    <s v="Loco et territorio de Chalmariais"/>
    <m/>
    <s v="Tence"/>
    <n v="1.5"/>
    <n v="0"/>
    <n v="0"/>
    <n v="0"/>
    <n v="0"/>
    <n v="0"/>
    <n v="8"/>
    <n v="0"/>
    <n v="0"/>
    <n v="0"/>
    <n v="0"/>
    <n v="1"/>
    <n v="0"/>
    <n v="1"/>
    <n v="0"/>
    <n v="0"/>
    <n v="0"/>
    <n v="0"/>
    <n v="0"/>
    <n v="0"/>
    <n v="0"/>
    <n v="0"/>
    <n v="0"/>
    <n v="0"/>
    <s v="Baylhagio + terra et pasturalia"/>
    <n v="14.833333333333334"/>
    <n v="0"/>
    <n v="0"/>
    <n v="0"/>
    <n v="0"/>
    <s v="Censu et talha"/>
    <s v="Toussaint"/>
    <s v="Merum et mixtum imperio"/>
    <s v="De mandamento et juridictione et infra mandamentum loci seu castri Devesseti"/>
    <s v="Devesset, in turre supra portam"/>
    <s v="Girandus Girandi de Pulinaco"/>
    <s v="Petro de Feudo presbitero"/>
    <s v="Heustachio de Quinccaco"/>
    <s v="Matheo Morelli"/>
    <m/>
    <m/>
    <m/>
  </r>
  <r>
    <n v="151"/>
    <m/>
    <s v="Jacobus"/>
    <s v="Fayni"/>
    <x v="4"/>
    <m/>
    <m/>
    <s v="Nomine liberorum suorum"/>
    <s v="H"/>
    <n v="1342"/>
    <s v="Mars"/>
    <n v="17"/>
    <s v="Raynaud de Fay"/>
    <s v="Homo-licgius, justitabilis et expletabilis"/>
    <x v="1"/>
    <s v="Non"/>
    <s v="Oui"/>
    <s v="Oui"/>
    <s v="Oui"/>
    <s v="Non"/>
    <s v="Avec bœufs et animaux"/>
    <m/>
    <x v="2"/>
    <x v="2"/>
    <x v="2"/>
    <x v="1"/>
    <x v="0"/>
    <x v="1"/>
    <x v="1"/>
    <x v="1"/>
    <x v="1"/>
    <x v="1"/>
    <x v="1"/>
    <s v="Oui"/>
    <x v="0"/>
    <x v="0"/>
    <x v="0"/>
    <x v="0"/>
    <x v="0"/>
    <x v="0"/>
    <x v="0"/>
    <x v="0"/>
    <x v="0"/>
    <x v="0"/>
    <x v="0"/>
    <x v="0"/>
    <x v="0"/>
    <x v="0"/>
    <x v="0"/>
    <x v="0"/>
    <x v="0"/>
    <x v="0"/>
    <x v="0"/>
    <x v="0"/>
    <x v="0"/>
    <x v="0"/>
    <x v="0"/>
    <x v="0"/>
    <x v="0"/>
    <x v="0"/>
    <x v="0"/>
    <x v="0"/>
    <x v="0"/>
    <x v="0"/>
    <m/>
    <s v="Domos + grangiam + prato + 2 possessiones"/>
    <s v="Manso et territorio de Chalmariais"/>
    <s v="Enfants"/>
    <s v="Tence"/>
    <n v="1.5"/>
    <n v="0"/>
    <n v="0"/>
    <n v="0"/>
    <n v="0"/>
    <n v="0"/>
    <n v="18"/>
    <n v="3"/>
    <n v="0"/>
    <n v="0"/>
    <n v="0"/>
    <n v="0"/>
    <n v="0"/>
    <n v="16"/>
    <n v="0"/>
    <n v="0"/>
    <n v="0"/>
    <n v="0"/>
    <n v="0"/>
    <n v="0"/>
    <n v="0"/>
    <n v="0"/>
    <n v="0"/>
    <n v="0"/>
    <s v="Baylhagio + prato + 2 possessiones"/>
    <n v="24.083333333333336"/>
    <n v="0.33333333333333331"/>
    <n v="0"/>
    <n v="1"/>
    <n v="0"/>
    <s v="Censu et talha"/>
    <s v="Toussaint"/>
    <m/>
    <m/>
    <s v="Devesset, in turre supra portam"/>
    <s v="Girandus Girandi de Pulinaco"/>
    <s v="Petro de Feudo presbitero"/>
    <s v="Heustachio de Quinccaco"/>
    <s v="Matheo Morelli"/>
    <m/>
    <m/>
    <m/>
  </r>
  <r>
    <n v="161"/>
    <s v="Page barrée et pas finie"/>
    <s v="Johanes"/>
    <s v="Verilhati"/>
    <x v="4"/>
    <m/>
    <m/>
    <m/>
    <s v="H"/>
    <n v="1342"/>
    <s v="Mars"/>
    <n v="17"/>
    <s v="Raynaud de Fay"/>
    <s v="Homo-licgius, justitabilis et expletabilis"/>
    <x v="0"/>
    <m/>
    <m/>
    <m/>
    <m/>
    <m/>
    <m/>
    <m/>
    <x v="4"/>
    <x v="5"/>
    <x v="3"/>
    <x v="2"/>
    <x v="2"/>
    <x v="2"/>
    <x v="2"/>
    <x v="3"/>
    <x v="2"/>
    <x v="2"/>
    <x v="2"/>
    <m/>
    <x v="2"/>
    <x v="1"/>
    <x v="1"/>
    <x v="1"/>
    <x v="1"/>
    <x v="1"/>
    <x v="1"/>
    <x v="3"/>
    <x v="1"/>
    <x v="1"/>
    <x v="1"/>
    <x v="1"/>
    <x v="2"/>
    <x v="1"/>
    <x v="1"/>
    <x v="3"/>
    <x v="1"/>
    <x v="1"/>
    <x v="1"/>
    <x v="1"/>
    <x v="1"/>
    <x v="1"/>
    <x v="1"/>
    <x v="1"/>
    <x v="1"/>
    <x v="1"/>
    <x v="1"/>
    <x v="2"/>
    <x v="1"/>
    <x v="2"/>
    <m/>
    <m/>
    <m/>
    <m/>
    <m/>
    <m/>
    <m/>
    <m/>
    <m/>
    <m/>
    <m/>
    <m/>
    <m/>
    <m/>
    <m/>
    <m/>
    <m/>
    <m/>
    <m/>
    <m/>
    <m/>
    <m/>
    <m/>
    <m/>
    <m/>
    <m/>
    <m/>
    <m/>
    <m/>
    <m/>
    <m/>
    <m/>
    <m/>
    <m/>
    <m/>
    <m/>
    <m/>
    <m/>
    <m/>
    <m/>
    <s v="Girandus Girandi de Pulinaco"/>
    <m/>
    <m/>
    <m/>
    <m/>
    <m/>
    <m/>
  </r>
  <r>
    <n v="162"/>
    <m/>
    <s v="Michael"/>
    <s v="Chambonaut"/>
    <x v="4"/>
    <m/>
    <m/>
    <s v="Nomine Johanete eius uxoris"/>
    <s v="H"/>
    <n v="1342"/>
    <s v="Mars"/>
    <n v="18"/>
    <s v="Raynaud de Fay"/>
    <s v="Homo-licgius, justitabilis et expletabilis"/>
    <x v="1"/>
    <s v="Non"/>
    <s v="Oui"/>
    <s v="Oui"/>
    <s v="Oui"/>
    <s v="Non"/>
    <m/>
    <m/>
    <x v="2"/>
    <x v="2"/>
    <x v="2"/>
    <x v="1"/>
    <x v="1"/>
    <x v="1"/>
    <x v="1"/>
    <x v="1"/>
    <x v="1"/>
    <x v="1"/>
    <x v="0"/>
    <s v="Oui"/>
    <x v="0"/>
    <x v="0"/>
    <x v="0"/>
    <x v="0"/>
    <x v="0"/>
    <x v="0"/>
    <x v="0"/>
    <x v="0"/>
    <x v="0"/>
    <x v="0"/>
    <x v="0"/>
    <x v="0"/>
    <x v="0"/>
    <x v="0"/>
    <x v="0"/>
    <x v="0"/>
    <x v="0"/>
    <x v="0"/>
    <x v="0"/>
    <x v="0"/>
    <x v="0"/>
    <x v="0"/>
    <x v="0"/>
    <x v="0"/>
    <x v="0"/>
    <x v="0"/>
    <x v="0"/>
    <x v="0"/>
    <x v="0"/>
    <x v="1"/>
    <m/>
    <s v="Possessiones eiux uxoris + baylhagio"/>
    <s v="Loco et territorio de Chalmariais"/>
    <s v="Femme"/>
    <s v="Tence"/>
    <n v="1"/>
    <n v="0"/>
    <n v="0"/>
    <n v="0"/>
    <n v="0"/>
    <n v="0"/>
    <n v="4.5"/>
    <n v="0"/>
    <n v="1"/>
    <n v="0"/>
    <n v="0"/>
    <n v="0"/>
    <n v="0"/>
    <n v="2"/>
    <n v="4"/>
    <n v="0"/>
    <n v="0"/>
    <n v="0"/>
    <n v="0"/>
    <n v="0"/>
    <n v="0"/>
    <n v="0"/>
    <n v="0"/>
    <n v="0"/>
    <s v="Possessiones eius uxoris"/>
    <n v="10.166666666666668"/>
    <n v="0"/>
    <n v="1"/>
    <n v="0"/>
    <n v="0"/>
    <m/>
    <s v="Toussaint"/>
    <s v="Merum et mixtum imperio"/>
    <s v="De mandamento juridictione loci de Chalmariais"/>
    <s v="Devesset, in turre supra portam"/>
    <s v="Girandus Girandi de Pulinaco"/>
    <s v="Johanne Meruli"/>
    <s v="Johanne de Sancto Anthonio"/>
    <s v="Jacobo Dens Pontetz"/>
    <m/>
    <m/>
    <m/>
  </r>
  <r>
    <n v="171"/>
    <m/>
    <s v="Aprila"/>
    <s v="Marconis"/>
    <x v="4"/>
    <m/>
    <s v="Filia Johanis Marconis de Chalmariais condam"/>
    <m/>
    <s v="F"/>
    <n v="1342"/>
    <s v="Mars"/>
    <n v="18"/>
    <s v="Raynaud de Fay"/>
    <s v="Mulier-licgia, justitabilis et expletabilis"/>
    <x v="2"/>
    <s v="Non"/>
    <s v="Oui"/>
    <s v="Oui"/>
    <s v="Oui"/>
    <s v="Non"/>
    <m/>
    <m/>
    <x v="0"/>
    <x v="2"/>
    <x v="2"/>
    <x v="1"/>
    <x v="0"/>
    <x v="1"/>
    <x v="1"/>
    <x v="1"/>
    <x v="1"/>
    <x v="1"/>
    <x v="0"/>
    <s v="Non"/>
    <x v="0"/>
    <x v="0"/>
    <x v="0"/>
    <x v="0"/>
    <x v="0"/>
    <x v="0"/>
    <x v="0"/>
    <x v="0"/>
    <x v="0"/>
    <x v="0"/>
    <x v="0"/>
    <x v="0"/>
    <x v="0"/>
    <x v="0"/>
    <x v="0"/>
    <x v="0"/>
    <x v="0"/>
    <x v="0"/>
    <x v="0"/>
    <x v="0"/>
    <x v="0"/>
    <x v="0"/>
    <x v="0"/>
    <x v="0"/>
    <x v="0"/>
    <x v="0"/>
    <x v="0"/>
    <x v="0"/>
    <x v="0"/>
    <x v="1"/>
    <s v="Quartam partem omnium rerum et possessionem quem fuerunt condam Johanis Marconis sive Despaetis eius patris"/>
    <s v="Baylhagio"/>
    <m/>
    <m/>
    <s v="Tence"/>
    <n v="0.16666666666666666"/>
    <n v="0"/>
    <n v="0"/>
    <n v="0"/>
    <n v="0"/>
    <n v="0"/>
    <n v="0.5"/>
    <n v="0"/>
    <n v="0"/>
    <n v="0"/>
    <n v="0"/>
    <n v="0"/>
    <n v="0"/>
    <n v="0"/>
    <n v="3"/>
    <n v="0"/>
    <n v="0"/>
    <n v="0"/>
    <n v="0"/>
    <n v="0"/>
    <n v="0"/>
    <n v="0"/>
    <n v="0"/>
    <n v="0"/>
    <m/>
    <n v="1.5"/>
    <n v="0"/>
    <n v="0"/>
    <n v="0"/>
    <n v="0"/>
    <m/>
    <s v="Toussaint"/>
    <s v="Merum et mixtum imperio"/>
    <s v="De mandato et infra mandamento et omnimoda juridictione loci de Chalmariais"/>
    <s v="Devesset, in turre supra portam"/>
    <s v="Girandus Girandi de Pulinaco"/>
    <s v="Johanne de Sancto Anthonio"/>
    <s v="Jacobo Chanbonandi"/>
    <s v="Michaele Chambonandi"/>
    <m/>
    <m/>
    <m/>
  </r>
  <r>
    <n v="181"/>
    <m/>
    <s v="Johanes"/>
    <s v="De Sancto Anthonio"/>
    <x v="4"/>
    <m/>
    <m/>
    <s v="Nomine liberorum suorum"/>
    <s v="H"/>
    <n v="1342"/>
    <s v="Mars"/>
    <n v="18"/>
    <s v="Raynaud de Fay"/>
    <s v="Homo-licgius, justitabilis et expletabilis"/>
    <x v="1"/>
    <s v="Non"/>
    <s v="Oui"/>
    <s v="Oui"/>
    <s v="Oui"/>
    <s v="Non"/>
    <m/>
    <m/>
    <x v="3"/>
    <x v="4"/>
    <x v="2"/>
    <x v="1"/>
    <x v="0"/>
    <x v="1"/>
    <x v="1"/>
    <x v="1"/>
    <x v="1"/>
    <x v="1"/>
    <x v="0"/>
    <s v="Non"/>
    <x v="0"/>
    <x v="0"/>
    <x v="0"/>
    <x v="0"/>
    <x v="0"/>
    <x v="0"/>
    <x v="0"/>
    <x v="0"/>
    <x v="0"/>
    <x v="0"/>
    <x v="0"/>
    <x v="0"/>
    <x v="0"/>
    <x v="0"/>
    <x v="0"/>
    <x v="0"/>
    <x v="0"/>
    <x v="0"/>
    <x v="0"/>
    <x v="0"/>
    <x v="0"/>
    <x v="0"/>
    <x v="0"/>
    <x v="0"/>
    <x v="0"/>
    <x v="0"/>
    <x v="0"/>
    <x v="0"/>
    <x v="0"/>
    <x v="1"/>
    <m/>
    <s v="Domum + pasturale"/>
    <s v="Loco et territorio de Chalmariais"/>
    <s v="Fils"/>
    <s v="Tence"/>
    <n v="0.5"/>
    <n v="0"/>
    <n v="0"/>
    <n v="0"/>
    <n v="0"/>
    <n v="0"/>
    <n v="2"/>
    <n v="1"/>
    <n v="0"/>
    <n v="0"/>
    <n v="0"/>
    <n v="0"/>
    <n v="0"/>
    <n v="0.83333333333333326"/>
    <n v="0.5"/>
    <n v="3"/>
    <n v="0"/>
    <n v="0"/>
    <n v="0"/>
    <n v="0"/>
    <n v="0"/>
    <n v="0"/>
    <n v="0"/>
    <n v="0"/>
    <s v="Possessiones liberorum suorum"/>
    <n v="9.5"/>
    <n v="1.3333333333333333"/>
    <n v="1"/>
    <n v="0"/>
    <n v="0"/>
    <s v="Censu et talha"/>
    <s v="Toussaint"/>
    <s v="Merum et mixtum imperio"/>
    <s v="De mandato et infra mandamento et omnimoda juridictione loci de Chalmariais"/>
    <s v="Devesset, in turre supra portam"/>
    <s v="Girandus Girandi de Pulinaco"/>
    <s v="Fratre Johanne Meruli ordinis Sancti Johanis Jherosolimitani"/>
    <s v="Johanne Jucge al' verila"/>
    <s v="Thoma Chanbonane"/>
    <m/>
    <m/>
    <m/>
  </r>
  <r>
    <n v="182"/>
    <m/>
    <s v="Johannes"/>
    <s v="Giuilloneti"/>
    <x v="4"/>
    <m/>
    <m/>
    <m/>
    <s v="H"/>
    <n v="1346"/>
    <s v="Novembre"/>
    <n v="12"/>
    <s v="Raynaud de Fay"/>
    <m/>
    <x v="0"/>
    <m/>
    <m/>
    <m/>
    <m/>
    <m/>
    <m/>
    <s v="Contractus emphiteotitarii"/>
    <x v="0"/>
    <x v="0"/>
    <x v="0"/>
    <x v="0"/>
    <x v="0"/>
    <x v="0"/>
    <x v="3"/>
    <x v="1"/>
    <x v="0"/>
    <x v="0"/>
    <x v="0"/>
    <s v="Non"/>
    <x v="0"/>
    <x v="0"/>
    <x v="0"/>
    <x v="0"/>
    <x v="0"/>
    <x v="0"/>
    <x v="0"/>
    <x v="0"/>
    <x v="0"/>
    <x v="0"/>
    <x v="2"/>
    <x v="0"/>
    <x v="0"/>
    <x v="0"/>
    <x v="0"/>
    <x v="0"/>
    <x v="0"/>
    <x v="0"/>
    <x v="0"/>
    <x v="0"/>
    <x v="0"/>
    <x v="0"/>
    <x v="0"/>
    <x v="0"/>
    <x v="0"/>
    <x v="0"/>
    <x v="0"/>
    <x v="0"/>
    <x v="0"/>
    <x v="0"/>
    <m/>
    <s v="Costam + Balayam pasturali + pasturali"/>
    <m/>
    <m/>
    <m/>
    <n v="0"/>
    <n v="0"/>
    <n v="0"/>
    <n v="0"/>
    <n v="0"/>
    <n v="0"/>
    <n v="0"/>
    <n v="0"/>
    <n v="0"/>
    <n v="0"/>
    <n v="0"/>
    <n v="0"/>
    <n v="0"/>
    <n v="0"/>
    <n v="0"/>
    <n v="0"/>
    <n v="0"/>
    <n v="0"/>
    <n v="0"/>
    <n v="0"/>
    <n v="0"/>
    <n v="0"/>
    <n v="0"/>
    <n v="0"/>
    <m/>
    <n v="5.083333333333333"/>
    <n v="0"/>
    <n v="0"/>
    <n v="0"/>
    <n v="0"/>
    <m/>
    <m/>
    <m/>
    <m/>
    <s v="Devesset"/>
    <m/>
    <s v="Domino Johane Armandi presbitero"/>
    <s v="Petro Mpata de Crosti"/>
    <m/>
    <m/>
    <m/>
    <m/>
  </r>
  <r>
    <n v="191"/>
    <m/>
    <s v="Johaneta"/>
    <s v="Fabii"/>
    <x v="4"/>
    <m/>
    <s v="Uxor Guillermi Fabii de Chalmariais"/>
    <m/>
    <s v="F"/>
    <n v="1342"/>
    <s v="Mars"/>
    <n v="18"/>
    <s v="Raynaud de Fay"/>
    <s v="Mulier-licgia, justitabilis et expletabilis"/>
    <x v="1"/>
    <s v="Non"/>
    <s v="Oui"/>
    <s v="Oui"/>
    <s v="Oui"/>
    <s v="Non"/>
    <m/>
    <m/>
    <x v="3"/>
    <x v="4"/>
    <x v="0"/>
    <x v="0"/>
    <x v="0"/>
    <x v="0"/>
    <x v="0"/>
    <x v="1"/>
    <x v="0"/>
    <x v="0"/>
    <x v="0"/>
    <s v="Non"/>
    <x v="0"/>
    <x v="0"/>
    <x v="0"/>
    <x v="0"/>
    <x v="0"/>
    <x v="0"/>
    <x v="0"/>
    <x v="0"/>
    <x v="0"/>
    <x v="0"/>
    <x v="0"/>
    <x v="0"/>
    <x v="0"/>
    <x v="0"/>
    <x v="0"/>
    <x v="0"/>
    <x v="0"/>
    <x v="0"/>
    <x v="0"/>
    <x v="0"/>
    <x v="0"/>
    <x v="0"/>
    <x v="0"/>
    <x v="0"/>
    <x v="0"/>
    <x v="0"/>
    <x v="0"/>
    <x v="0"/>
    <x v="0"/>
    <x v="0"/>
    <m/>
    <s v="Domum + ortum"/>
    <m/>
    <m/>
    <m/>
    <n v="0.5"/>
    <n v="0"/>
    <n v="0"/>
    <n v="0"/>
    <n v="0"/>
    <n v="0"/>
    <n v="0"/>
    <n v="0"/>
    <n v="0"/>
    <n v="0"/>
    <n v="0"/>
    <n v="0"/>
    <n v="0"/>
    <n v="0"/>
    <n v="0"/>
    <n v="0"/>
    <n v="0"/>
    <n v="0"/>
    <n v="0"/>
    <n v="0"/>
    <n v="0"/>
    <n v="0"/>
    <n v="0"/>
    <n v="0"/>
    <m/>
    <n v="0"/>
    <n v="0"/>
    <n v="0"/>
    <n v="0"/>
    <n v="0"/>
    <m/>
    <s v="Toussaint"/>
    <m/>
    <m/>
    <s v="Devesset, in turre supra portam"/>
    <s v="Girandus Girandi de Pulinaco"/>
    <s v="Fratre Johanne Meruli ordinis Sancti Johanis Jherosolimitani"/>
    <s v="Thoma Chanbonane"/>
    <m/>
    <m/>
    <m/>
    <m/>
  </r>
  <r>
    <n v="201"/>
    <m/>
    <s v="Jacobus"/>
    <s v="Chambonaut"/>
    <x v="4"/>
    <m/>
    <s v="Filius Guillermi Jacobi condam"/>
    <m/>
    <s v="H"/>
    <n v="1342"/>
    <s v="Mars"/>
    <n v="18"/>
    <s v="Raynaud de Fay"/>
    <s v="Homo-licgius, justitabilis et expletabilis"/>
    <x v="1"/>
    <s v="Non"/>
    <s v="Oui"/>
    <s v="Oui"/>
    <s v="Oui"/>
    <s v="Non"/>
    <m/>
    <m/>
    <x v="3"/>
    <x v="4"/>
    <x v="2"/>
    <x v="1"/>
    <x v="0"/>
    <x v="1"/>
    <x v="1"/>
    <x v="1"/>
    <x v="1"/>
    <x v="1"/>
    <x v="1"/>
    <s v="Non"/>
    <x v="0"/>
    <x v="0"/>
    <x v="0"/>
    <x v="0"/>
    <x v="0"/>
    <x v="0"/>
    <x v="0"/>
    <x v="0"/>
    <x v="0"/>
    <x v="0"/>
    <x v="0"/>
    <x v="0"/>
    <x v="0"/>
    <x v="0"/>
    <x v="0"/>
    <x v="0"/>
    <x v="0"/>
    <x v="0"/>
    <x v="0"/>
    <x v="0"/>
    <x v="0"/>
    <x v="0"/>
    <x v="0"/>
    <x v="0"/>
    <x v="0"/>
    <x v="0"/>
    <x v="0"/>
    <x v="0"/>
    <x v="0"/>
    <x v="1"/>
    <m/>
    <s v="Domum + grangiam pratum + bayliaghio"/>
    <s v="Loco et territorio de Chalmariais"/>
    <m/>
    <s v="Tence"/>
    <n v="1.5"/>
    <n v="0"/>
    <n v="0"/>
    <n v="0"/>
    <n v="0"/>
    <n v="0"/>
    <n v="12"/>
    <n v="0"/>
    <n v="0"/>
    <n v="0"/>
    <n v="0"/>
    <n v="1"/>
    <n v="0"/>
    <n v="0"/>
    <n v="0"/>
    <n v="0"/>
    <n v="0"/>
    <n v="0"/>
    <n v="0"/>
    <n v="0"/>
    <n v="0"/>
    <n v="0"/>
    <n v="0"/>
    <n v="0"/>
    <s v="Petia"/>
    <n v="11"/>
    <n v="0"/>
    <n v="0"/>
    <n v="0"/>
    <n v="0"/>
    <s v="Censu et talha"/>
    <s v="Toussaint"/>
    <s v="Merum et mixtum imperio"/>
    <s v="De juridictione omnimoda altaque et bessa justitia castri seu loci de Chalmariais"/>
    <s v="Devesset, avant la porte de Devesset"/>
    <s v="Girandus Girandi de Pulinaco"/>
    <s v="Fratre Johanne Meruli ordinis Sancti Johanis Jherosolimitani"/>
    <s v="Petrum de Casalibus"/>
    <s v="Guillermo Boteria de Capella"/>
    <m/>
    <m/>
    <m/>
  </r>
  <r>
    <n v="211"/>
    <m/>
    <s v="Laurens"/>
    <s v="De Calma"/>
    <x v="4"/>
    <m/>
    <m/>
    <s v="Johannete nepos Johannete Penarde uxoris Johannis filli dicti Laurens"/>
    <s v="H"/>
    <n v="1342"/>
    <s v="Mars"/>
    <n v="18"/>
    <s v="Raynaud de Fay"/>
    <s v="Homo-licgius, justitabilis et expletabilis"/>
    <x v="1"/>
    <s v="Non"/>
    <s v="Oui"/>
    <s v="Oui"/>
    <s v="Oui"/>
    <s v="Non"/>
    <m/>
    <m/>
    <x v="1"/>
    <x v="1"/>
    <x v="2"/>
    <x v="1"/>
    <x v="1"/>
    <x v="0"/>
    <x v="1"/>
    <x v="1"/>
    <x v="1"/>
    <x v="1"/>
    <x v="0"/>
    <s v="Non"/>
    <x v="3"/>
    <x v="0"/>
    <x v="0"/>
    <x v="0"/>
    <x v="0"/>
    <x v="0"/>
    <x v="0"/>
    <x v="0"/>
    <x v="0"/>
    <x v="0"/>
    <x v="0"/>
    <x v="0"/>
    <x v="0"/>
    <x v="0"/>
    <x v="0"/>
    <x v="0"/>
    <x v="0"/>
    <x v="0"/>
    <x v="0"/>
    <x v="0"/>
    <x v="0"/>
    <x v="0"/>
    <x v="0"/>
    <x v="0"/>
    <x v="0"/>
    <x v="0"/>
    <x v="0"/>
    <x v="0"/>
    <x v="0"/>
    <x v="1"/>
    <m/>
    <s v="Domum + ortum + calmis + possessiones nepos uxoris eius filii"/>
    <s v="Territorio de Chalmariais"/>
    <s v="Petite-nièce"/>
    <s v="Tence"/>
    <n v="3.5"/>
    <n v="0"/>
    <n v="0"/>
    <n v="0"/>
    <n v="0"/>
    <n v="0"/>
    <n v="8.5"/>
    <n v="1"/>
    <n v="0"/>
    <n v="0"/>
    <n v="0"/>
    <n v="0"/>
    <n v="0"/>
    <n v="14"/>
    <n v="0"/>
    <n v="0"/>
    <n v="0"/>
    <n v="0"/>
    <n v="0"/>
    <n v="0"/>
    <n v="0"/>
    <n v="0"/>
    <n v="0"/>
    <n v="0"/>
    <s v="Baylhagio + calmis + possessiones nepos uxoris eius filii"/>
    <n v="19.583333333333332"/>
    <n v="0"/>
    <n v="1.5"/>
    <n v="0"/>
    <n v="0"/>
    <s v="Censu et talha"/>
    <s v="Toussaint"/>
    <s v="Merum et mixtum imperio"/>
    <s v="De omnimoda juridictione et de mandamento loci seu castri de Chalmariais"/>
    <s v="Devesset, avant la porte de Devesset"/>
    <s v="Girandus Girandi de Pulinaco"/>
    <s v="Fratre Petro de Casalibus"/>
    <s v="Fratre Johanne Meruli ordinis Sancti Johanis Jherosolimitani"/>
    <s v="Guillermo Boteria de Capella parochie Sancti Agreppavii"/>
    <m/>
    <m/>
    <m/>
  </r>
  <r>
    <n v="221"/>
    <m/>
    <s v="Thomas"/>
    <s v="Jacobi"/>
    <x v="4"/>
    <m/>
    <m/>
    <s v="Jonannete eius uxoris"/>
    <s v="H"/>
    <n v="1342"/>
    <s v="Mars"/>
    <n v="18"/>
    <s v="Raynaud de Fay"/>
    <s v="Homo-licgius, justitabilis et expletabilis"/>
    <x v="1"/>
    <s v="Non"/>
    <s v="Oui"/>
    <s v="Oui"/>
    <s v="Oui"/>
    <s v="Non"/>
    <m/>
    <m/>
    <x v="1"/>
    <x v="2"/>
    <x v="2"/>
    <x v="1"/>
    <x v="1"/>
    <x v="1"/>
    <x v="1"/>
    <x v="4"/>
    <x v="0"/>
    <x v="1"/>
    <x v="0"/>
    <s v="Non"/>
    <x v="0"/>
    <x v="0"/>
    <x v="0"/>
    <x v="0"/>
    <x v="0"/>
    <x v="0"/>
    <x v="0"/>
    <x v="0"/>
    <x v="0"/>
    <x v="0"/>
    <x v="0"/>
    <x v="0"/>
    <x v="0"/>
    <x v="0"/>
    <x v="0"/>
    <x v="0"/>
    <x v="0"/>
    <x v="0"/>
    <x v="0"/>
    <x v="0"/>
    <x v="0"/>
    <x v="0"/>
    <x v="0"/>
    <x v="0"/>
    <x v="0"/>
    <x v="0"/>
    <x v="0"/>
    <x v="0"/>
    <x v="0"/>
    <x v="1"/>
    <m/>
    <s v="Domum + baylhagio + pratum + domum eius uxoris + possessiones eius uxoris"/>
    <s v="Loco et territorio de Chalmariais"/>
    <s v="Femme"/>
    <s v="Tence"/>
    <n v="1"/>
    <n v="0"/>
    <n v="0"/>
    <n v="0"/>
    <n v="0"/>
    <n v="0"/>
    <n v="4"/>
    <n v="0"/>
    <n v="1"/>
    <n v="0"/>
    <n v="0"/>
    <n v="0"/>
    <n v="0"/>
    <n v="0"/>
    <n v="1"/>
    <n v="1"/>
    <n v="0"/>
    <n v="0"/>
    <n v="0"/>
    <n v="0"/>
    <n v="0"/>
    <n v="0"/>
    <n v="0"/>
    <n v="0"/>
    <s v="Possessiones eius uxoris + baylhagio eius uxoris"/>
    <n v="6.333333333333333"/>
    <n v="0"/>
    <n v="0"/>
    <n v="0"/>
    <n v="0"/>
    <s v="Censu et talha"/>
    <s v="Toussaint"/>
    <s v="De mandamento et juridictione omnimoda"/>
    <s v="Castri seu loci de Chalmariais"/>
    <s v="Devesset, avant la porte du castrum"/>
    <s v="Girandus Girandi de Pulinaco"/>
    <s v="Fratre Johanne Meruli ordinis Sancti Johanis Jherosolimitani"/>
    <s v="Guillermo Boteria"/>
    <s v="Martino de Capella parochie Sancti Agreppavii"/>
    <m/>
    <m/>
    <m/>
  </r>
  <r>
    <n v="231"/>
    <m/>
    <s v="Matheus"/>
    <s v="Segureti del Cosimi"/>
    <x v="4"/>
    <m/>
    <m/>
    <m/>
    <s v="H"/>
    <n v="1343"/>
    <s v="Mars"/>
    <n v="31"/>
    <s v="Renaud de Fay"/>
    <s v="Homo-licgius, justitabilis et expletabilis"/>
    <x v="1"/>
    <s v="Non"/>
    <s v="Oui"/>
    <s v="Oui"/>
    <s v="Oui"/>
    <s v="Non"/>
    <m/>
    <s v="Contractus emphiteotitarii"/>
    <x v="3"/>
    <x v="2"/>
    <x v="2"/>
    <x v="1"/>
    <x v="1"/>
    <x v="0"/>
    <x v="0"/>
    <x v="1"/>
    <x v="0"/>
    <x v="0"/>
    <x v="0"/>
    <s v="Non"/>
    <x v="0"/>
    <x v="0"/>
    <x v="0"/>
    <x v="0"/>
    <x v="0"/>
    <x v="0"/>
    <x v="0"/>
    <x v="0"/>
    <x v="0"/>
    <x v="0"/>
    <x v="0"/>
    <x v="0"/>
    <x v="0"/>
    <x v="0"/>
    <x v="0"/>
    <x v="0"/>
    <x v="0"/>
    <x v="0"/>
    <x v="0"/>
    <x v="0"/>
    <x v="0"/>
    <x v="0"/>
    <x v="0"/>
    <x v="0"/>
    <x v="0"/>
    <x v="0"/>
    <x v="0"/>
    <x v="0"/>
    <x v="0"/>
    <x v="1"/>
    <m/>
    <m/>
    <s v="Chalmariais"/>
    <s v="Enfants"/>
    <s v="Tence"/>
    <n v="1"/>
    <n v="0"/>
    <n v="0"/>
    <n v="0"/>
    <n v="0"/>
    <n v="0"/>
    <n v="0"/>
    <n v="0"/>
    <n v="1"/>
    <n v="0"/>
    <n v="0"/>
    <n v="0"/>
    <n v="0"/>
    <n v="0.5"/>
    <n v="0"/>
    <n v="0"/>
    <n v="0"/>
    <n v="0"/>
    <n v="0"/>
    <n v="0"/>
    <n v="0"/>
    <n v="0"/>
    <n v="1"/>
    <n v="0"/>
    <m/>
    <n v="5"/>
    <n v="0"/>
    <n v="0"/>
    <n v="0"/>
    <n v="0"/>
    <s v="Censu et talha"/>
    <s v="Toussaint"/>
    <s v="Merum et mixtum imperium "/>
    <s v="Loci seu castri de Chalmariais"/>
    <s v="Devesset, in turre supra portam"/>
    <s v="Girandus Girandi de Pulinaco"/>
    <s v="Metheus Morelli de Ruppepaula"/>
    <s v="Matheo Matinerii"/>
    <m/>
    <m/>
    <m/>
    <m/>
  </r>
  <r>
    <n v="241"/>
    <m/>
    <s v="Johaneta"/>
    <s v="Trona"/>
    <x v="4"/>
    <m/>
    <m/>
    <m/>
    <s v="F"/>
    <n v="1343"/>
    <s v="Mars"/>
    <n v="31"/>
    <s v="Renaud de Fay"/>
    <s v="Mulier-licgia, justitabilis et expletabilis"/>
    <x v="1"/>
    <s v="Non"/>
    <s v="Oui"/>
    <s v="Non"/>
    <s v="Oui"/>
    <s v="Non"/>
    <s v="Avec bœufs et animaux"/>
    <s v="Contractus emphiteotitarii"/>
    <x v="3"/>
    <x v="4"/>
    <x v="2"/>
    <x v="1"/>
    <x v="1"/>
    <x v="1"/>
    <x v="1"/>
    <x v="1"/>
    <x v="0"/>
    <x v="0"/>
    <x v="0"/>
    <s v="Non"/>
    <x v="0"/>
    <x v="0"/>
    <x v="0"/>
    <x v="0"/>
    <x v="0"/>
    <x v="0"/>
    <x v="0"/>
    <x v="0"/>
    <x v="0"/>
    <x v="0"/>
    <x v="0"/>
    <x v="0"/>
    <x v="0"/>
    <x v="0"/>
    <x v="0"/>
    <x v="0"/>
    <x v="0"/>
    <x v="0"/>
    <x v="0"/>
    <x v="0"/>
    <x v="0"/>
    <x v="0"/>
    <x v="0"/>
    <x v="0"/>
    <x v="0"/>
    <x v="0"/>
    <x v="0"/>
    <x v="0"/>
    <x v="0"/>
    <x v="1"/>
    <m/>
    <m/>
    <s v="Chalmariais"/>
    <m/>
    <s v="Tence"/>
    <n v="1"/>
    <n v="0"/>
    <n v="0"/>
    <n v="0"/>
    <n v="0"/>
    <n v="0"/>
    <n v="0"/>
    <n v="0"/>
    <n v="1"/>
    <n v="0"/>
    <n v="0"/>
    <n v="0"/>
    <n v="0"/>
    <n v="1.5"/>
    <n v="0"/>
    <n v="0"/>
    <n v="0"/>
    <n v="0"/>
    <n v="0.25"/>
    <n v="0"/>
    <n v="0"/>
    <n v="0"/>
    <n v="0"/>
    <n v="0"/>
    <m/>
    <n v="1.75"/>
    <n v="0"/>
    <n v="0"/>
    <n v="0"/>
    <n v="0"/>
    <s v="Censu et talha"/>
    <s v="Toussaint"/>
    <s v="De juridictione omnimoda"/>
    <s v="Mandemento et infra mandamentum loci de Chalmariais"/>
    <s v="Devesset, in turre supra portam"/>
    <s v="Girandus Girandi de Pulinaco"/>
    <s v="Metheus Morelli de Ruppepaula"/>
    <s v="Matheo Matinerii"/>
    <m/>
    <m/>
    <m/>
    <m/>
  </r>
  <r>
    <n v="251"/>
    <m/>
    <s v="Agnita"/>
    <s v="De Sancto Anthonio"/>
    <x v="4"/>
    <m/>
    <m/>
    <m/>
    <s v="F"/>
    <n v="1343"/>
    <s v="Mars"/>
    <n v="31"/>
    <s v="Renaud de Fay"/>
    <s v="Mulier-licgia, justitabilis et expletabilis"/>
    <x v="1"/>
    <s v="Non"/>
    <s v="Oui"/>
    <s v="Oui"/>
    <s v="Non"/>
    <s v="Non"/>
    <s v="Prout alii homines"/>
    <s v="Contractus emphiteotitarii"/>
    <x v="3"/>
    <x v="1"/>
    <x v="0"/>
    <x v="0"/>
    <x v="0"/>
    <x v="0"/>
    <x v="0"/>
    <x v="1"/>
    <x v="0"/>
    <x v="0"/>
    <x v="0"/>
    <s v="Non"/>
    <x v="0"/>
    <x v="0"/>
    <x v="0"/>
    <x v="0"/>
    <x v="0"/>
    <x v="0"/>
    <x v="0"/>
    <x v="0"/>
    <x v="0"/>
    <x v="0"/>
    <x v="0"/>
    <x v="0"/>
    <x v="0"/>
    <x v="0"/>
    <x v="0"/>
    <x v="0"/>
    <x v="0"/>
    <x v="0"/>
    <x v="0"/>
    <x v="0"/>
    <x v="0"/>
    <x v="0"/>
    <x v="0"/>
    <x v="0"/>
    <x v="0"/>
    <x v="0"/>
    <x v="0"/>
    <x v="0"/>
    <x v="0"/>
    <x v="0"/>
    <m/>
    <m/>
    <s v="Chalmariais"/>
    <m/>
    <m/>
    <n v="0.5"/>
    <n v="0"/>
    <n v="0"/>
    <n v="0"/>
    <n v="0"/>
    <n v="0"/>
    <n v="0"/>
    <n v="0"/>
    <n v="0"/>
    <n v="0"/>
    <n v="0"/>
    <n v="0"/>
    <n v="0"/>
    <n v="0"/>
    <n v="0"/>
    <n v="0"/>
    <n v="0"/>
    <n v="0"/>
    <n v="0"/>
    <n v="0"/>
    <n v="0"/>
    <n v="0"/>
    <n v="0"/>
    <n v="0"/>
    <m/>
    <n v="0.33333333333333331"/>
    <n v="0"/>
    <n v="0"/>
    <n v="0"/>
    <n v="0"/>
    <s v="Pro ortis"/>
    <s v="Toussaint"/>
    <m/>
    <m/>
    <s v="Devesset, in turre supra portam"/>
    <s v="Girandus Girandi de Pulinaco"/>
    <s v="Metheus Morelli de Ruppepaula"/>
    <s v="Matheo Matinerii"/>
    <m/>
    <m/>
    <m/>
    <m/>
  </r>
  <r>
    <n v="261"/>
    <m/>
    <s v="Guilloneta"/>
    <s v="Marconis"/>
    <x v="4"/>
    <m/>
    <m/>
    <s v="Uxor Laurentis Marsonis"/>
    <s v="F"/>
    <n v="1343"/>
    <s v="Mars"/>
    <n v="31"/>
    <s v="Renaud de Fay"/>
    <s v="Mulier-licgia, justitabilis et expletabilis"/>
    <x v="1"/>
    <s v="Non"/>
    <s v="Oui"/>
    <s v="Oui"/>
    <s v="Oui"/>
    <s v="Non"/>
    <s v="Avec bœufs"/>
    <m/>
    <x v="3"/>
    <x v="2"/>
    <x v="2"/>
    <x v="1"/>
    <x v="1"/>
    <x v="0"/>
    <x v="1"/>
    <x v="4"/>
    <x v="0"/>
    <x v="0"/>
    <x v="0"/>
    <s v="Non"/>
    <x v="0"/>
    <x v="0"/>
    <x v="0"/>
    <x v="0"/>
    <x v="0"/>
    <x v="0"/>
    <x v="0"/>
    <x v="4"/>
    <x v="0"/>
    <x v="0"/>
    <x v="0"/>
    <x v="0"/>
    <x v="0"/>
    <x v="0"/>
    <x v="0"/>
    <x v="0"/>
    <x v="0"/>
    <x v="0"/>
    <x v="0"/>
    <x v="0"/>
    <x v="0"/>
    <x v="0"/>
    <x v="0"/>
    <x v="0"/>
    <x v="0"/>
    <x v="0"/>
    <x v="0"/>
    <x v="0"/>
    <x v="0"/>
    <x v="1"/>
    <m/>
    <s v="Petiarum"/>
    <s v="Chalmariais"/>
    <s v="Enfants"/>
    <s v="Tence"/>
    <n v="1.1666666666666667"/>
    <n v="0"/>
    <n v="0"/>
    <n v="0"/>
    <n v="0"/>
    <n v="0"/>
    <n v="3.8333333333333335"/>
    <n v="1"/>
    <n v="0"/>
    <n v="0"/>
    <n v="0"/>
    <n v="0"/>
    <n v="0"/>
    <n v="5.5"/>
    <n v="0"/>
    <n v="0"/>
    <n v="0"/>
    <n v="0"/>
    <n v="0"/>
    <n v="0"/>
    <n v="0"/>
    <n v="0"/>
    <n v="0"/>
    <n v="0"/>
    <s v="Baylliagio"/>
    <n v="6.5"/>
    <n v="0"/>
    <n v="0"/>
    <n v="0"/>
    <n v="0"/>
    <s v="Censu et talha"/>
    <s v="Toussaint"/>
    <s v="Merum et mixtum imperium "/>
    <m/>
    <s v="Devesset, in turre supra portam"/>
    <s v="Girandus Girandi de Pulinaco"/>
    <s v="Metheus Morelli de Ruppepaula"/>
    <s v="Matheo Matinerii"/>
    <m/>
    <m/>
    <m/>
    <m/>
  </r>
  <r>
    <n v="271"/>
    <m/>
    <s v="Johanes"/>
    <s v="De Chalmetis"/>
    <x v="5"/>
    <m/>
    <m/>
    <m/>
    <s v="H"/>
    <n v="1343"/>
    <s v="Avril"/>
    <n v="2"/>
    <s v="Renaud de Fay"/>
    <s v="Homo-licgius, justitabilis et expletabilis"/>
    <x v="2"/>
    <s v="Non"/>
    <s v="Oui"/>
    <s v="Oui"/>
    <s v="Oui"/>
    <s v="Non"/>
    <m/>
    <s v="Contractus emphiteotitarii"/>
    <x v="3"/>
    <x v="4"/>
    <x v="2"/>
    <x v="1"/>
    <x v="1"/>
    <x v="1"/>
    <x v="1"/>
    <x v="4"/>
    <x v="1"/>
    <x v="1"/>
    <x v="0"/>
    <s v="Non"/>
    <x v="0"/>
    <x v="0"/>
    <x v="0"/>
    <x v="0"/>
    <x v="0"/>
    <x v="0"/>
    <x v="0"/>
    <x v="0"/>
    <x v="0"/>
    <x v="0"/>
    <x v="0"/>
    <x v="0"/>
    <x v="0"/>
    <x v="0"/>
    <x v="0"/>
    <x v="0"/>
    <x v="0"/>
    <x v="0"/>
    <x v="0"/>
    <x v="0"/>
    <x v="0"/>
    <x v="0"/>
    <x v="0"/>
    <x v="0"/>
    <x v="0"/>
    <x v="0"/>
    <x v="0"/>
    <x v="0"/>
    <x v="0"/>
    <x v="1"/>
    <m/>
    <m/>
    <s v="Chalmetas"/>
    <m/>
    <s v="Tence"/>
    <n v="1.25"/>
    <n v="0"/>
    <n v="0"/>
    <n v="0"/>
    <n v="4"/>
    <n v="0"/>
    <n v="0.5"/>
    <n v="0"/>
    <n v="1"/>
    <n v="0"/>
    <n v="0"/>
    <n v="2"/>
    <n v="0"/>
    <n v="0"/>
    <n v="1"/>
    <n v="1"/>
    <n v="0"/>
    <n v="0"/>
    <n v="0"/>
    <n v="0"/>
    <n v="0"/>
    <n v="0"/>
    <n v="0"/>
    <n v="0"/>
    <s v="Bayliagio + Nemora"/>
    <n v="32"/>
    <n v="0"/>
    <n v="0"/>
    <n v="0"/>
    <n v="0"/>
    <s v="Censu et talha"/>
    <s v="Toussaint"/>
    <s v="Merum et mixtum imperium "/>
    <s v="Mandamentum et juridictione castri seu loci de Chalmariais"/>
    <s v="Devesset, in turre supra portam"/>
    <s v="Girandus Girandi de Pulinaco"/>
    <s v="Fratre Johane Meruli"/>
    <s v="Johane de Fila Trama"/>
    <m/>
    <m/>
    <m/>
    <m/>
  </r>
  <r>
    <n v="281"/>
    <m/>
    <s v="Fransons"/>
    <s v="De Chalmetis"/>
    <x v="5"/>
    <m/>
    <m/>
    <m/>
    <s v="H"/>
    <n v="1343"/>
    <s v="Avril"/>
    <n v="2"/>
    <s v="Renaud de Fay"/>
    <s v="Homo-licgius, justitabilis et expletabilis"/>
    <x v="1"/>
    <s v="Non"/>
    <s v="Oui"/>
    <s v="Oui"/>
    <s v="Oui"/>
    <s v="Non"/>
    <m/>
    <s v="Contractus emphiteotitarii"/>
    <x v="2"/>
    <x v="2"/>
    <x v="2"/>
    <x v="1"/>
    <x v="1"/>
    <x v="1"/>
    <x v="1"/>
    <x v="1"/>
    <x v="1"/>
    <x v="1"/>
    <x v="1"/>
    <s v="Non"/>
    <x v="0"/>
    <x v="0"/>
    <x v="0"/>
    <x v="0"/>
    <x v="0"/>
    <x v="0"/>
    <x v="0"/>
    <x v="4"/>
    <x v="0"/>
    <x v="0"/>
    <x v="0"/>
    <x v="0"/>
    <x v="0"/>
    <x v="0"/>
    <x v="0"/>
    <x v="0"/>
    <x v="0"/>
    <x v="0"/>
    <x v="0"/>
    <x v="0"/>
    <x v="0"/>
    <x v="0"/>
    <x v="0"/>
    <x v="0"/>
    <x v="0"/>
    <x v="0"/>
    <x v="0"/>
    <x v="0"/>
    <x v="0"/>
    <x v="1"/>
    <m/>
    <s v="Nemoris"/>
    <s v="Chalmetis et Chalmariais"/>
    <m/>
    <s v="Tence"/>
    <n v="1.25"/>
    <n v="0"/>
    <n v="0"/>
    <n v="0"/>
    <n v="4"/>
    <n v="0"/>
    <n v="5.5"/>
    <n v="0"/>
    <n v="0"/>
    <n v="0"/>
    <n v="0"/>
    <n v="0"/>
    <n v="0"/>
    <n v="17"/>
    <n v="3"/>
    <n v="0"/>
    <n v="0"/>
    <n v="0"/>
    <n v="0"/>
    <n v="0"/>
    <n v="0"/>
    <n v="0"/>
    <n v="0"/>
    <n v="0"/>
    <s v="Petia situé à Chalmariais"/>
    <n v="24.666666666666668"/>
    <n v="0"/>
    <n v="0"/>
    <n v="0"/>
    <n v="0"/>
    <s v="Censu et talha"/>
    <s v="Toussaint"/>
    <m/>
    <s v="Mandamentum et juridictione castri seu loci de Chalmariais"/>
    <s v="Devesset, in turre supra portam"/>
    <s v="Girandus Girandi de Pulinaco"/>
    <s v="Jacobo Solerii de Chambone"/>
    <s v="Petrus Guilloti de Chalmariais"/>
    <s v="Johane de Chalmetas"/>
    <m/>
    <m/>
    <m/>
  </r>
  <r>
    <n v="291"/>
    <m/>
    <s v="Peyros"/>
    <s v="De Chalmetis"/>
    <x v="5"/>
    <s v="Prope Chalmariais"/>
    <m/>
    <m/>
    <s v="H"/>
    <n v="1343"/>
    <s v="Avril"/>
    <n v="2"/>
    <s v="Renaud de Fay"/>
    <s v="Homo-licgius, justitabilis et expletabilis"/>
    <x v="2"/>
    <s v="Non"/>
    <s v="Oui"/>
    <s v="Oui"/>
    <s v="Oui"/>
    <s v="Non"/>
    <m/>
    <s v="Contractus emphiteotitarii"/>
    <x v="2"/>
    <x v="2"/>
    <x v="2"/>
    <x v="1"/>
    <x v="1"/>
    <x v="1"/>
    <x v="1"/>
    <x v="1"/>
    <x v="1"/>
    <x v="0"/>
    <x v="0"/>
    <s v="Oui"/>
    <x v="0"/>
    <x v="0"/>
    <x v="0"/>
    <x v="0"/>
    <x v="0"/>
    <x v="0"/>
    <x v="0"/>
    <x v="0"/>
    <x v="0"/>
    <x v="0"/>
    <x v="0"/>
    <x v="0"/>
    <x v="0"/>
    <x v="0"/>
    <x v="0"/>
    <x v="0"/>
    <x v="0"/>
    <x v="0"/>
    <x v="0"/>
    <x v="0"/>
    <x v="0"/>
    <x v="0"/>
    <x v="0"/>
    <x v="0"/>
    <x v="0"/>
    <x v="0"/>
    <x v="0"/>
    <x v="0"/>
    <x v="0"/>
    <x v="1"/>
    <m/>
    <s v="prato"/>
    <s v="Chalmetis et Chalmariais"/>
    <m/>
    <s v="Tence"/>
    <n v="1.5"/>
    <n v="0"/>
    <n v="0"/>
    <n v="0"/>
    <n v="8"/>
    <n v="1"/>
    <n v="1"/>
    <n v="0"/>
    <n v="0"/>
    <n v="0"/>
    <n v="0"/>
    <n v="4"/>
    <n v="0"/>
    <n v="3"/>
    <n v="0"/>
    <n v="0"/>
    <n v="0"/>
    <n v="0"/>
    <n v="1"/>
    <n v="0"/>
    <n v="0"/>
    <n v="0"/>
    <n v="0"/>
    <n v="0"/>
    <s v="Supprimer commentaire"/>
    <n v="46.333333333333336"/>
    <n v="0"/>
    <n v="0"/>
    <n v="0"/>
    <n v="0"/>
    <s v="Censu et talha"/>
    <s v="Toussaint"/>
    <s v="Merum et mixtum imperium "/>
    <s v="Castri de Chalmariais"/>
    <s v="Devesset, in turre supra portam"/>
    <s v="Girandus Girandi de Pulinaco"/>
    <s v="Jacobo Solerii de Chambone"/>
    <s v="Petrus Guilloti de Chalmariais"/>
    <s v="Johane de Chalmetas"/>
    <m/>
    <m/>
    <m/>
  </r>
  <r>
    <n v="1601"/>
    <m/>
    <s v="Poncius"/>
    <s v="Bruni"/>
    <x v="5"/>
    <m/>
    <m/>
    <m/>
    <s v="H"/>
    <n v="1342"/>
    <s v="Février"/>
    <n v="20"/>
    <s v="Raynaud de Fay"/>
    <m/>
    <x v="0"/>
    <m/>
    <m/>
    <m/>
    <m/>
    <m/>
    <m/>
    <s v="Constractus emphiteotarii"/>
    <x v="0"/>
    <x v="2"/>
    <x v="4"/>
    <x v="0"/>
    <x v="0"/>
    <x v="0"/>
    <x v="4"/>
    <x v="4"/>
    <x v="0"/>
    <x v="0"/>
    <x v="0"/>
    <s v="Non"/>
    <x v="3"/>
    <x v="0"/>
    <x v="0"/>
    <x v="0"/>
    <x v="0"/>
    <x v="0"/>
    <x v="0"/>
    <x v="0"/>
    <x v="0"/>
    <x v="0"/>
    <x v="0"/>
    <x v="0"/>
    <x v="0"/>
    <x v="0"/>
    <x v="0"/>
    <x v="0"/>
    <x v="0"/>
    <x v="0"/>
    <x v="0"/>
    <x v="0"/>
    <x v="0"/>
    <x v="0"/>
    <x v="0"/>
    <x v="0"/>
    <x v="0"/>
    <x v="0"/>
    <x v="0"/>
    <x v="0"/>
    <x v="0"/>
    <x v="0"/>
    <m/>
    <s v="5 terram + 2 pratum + pasturale + jus + jus terre + jus calme + partem orti + orto"/>
    <m/>
    <m/>
    <s v="Borzeza"/>
    <n v="0"/>
    <n v="0"/>
    <n v="0"/>
    <n v="0"/>
    <n v="0"/>
    <n v="0"/>
    <n v="1"/>
    <n v="0"/>
    <n v="0"/>
    <n v="1"/>
    <n v="0"/>
    <n v="0"/>
    <n v="0"/>
    <n v="0"/>
    <n v="1"/>
    <n v="0"/>
    <n v="0"/>
    <n v="0"/>
    <n v="0"/>
    <n v="0"/>
    <n v="0"/>
    <n v="0"/>
    <n v="0"/>
    <n v="0"/>
    <s v="Orto + terra"/>
    <n v="1.25"/>
    <n v="0"/>
    <n v="0"/>
    <n v="1"/>
    <n v="0"/>
    <m/>
    <s v="Toussaint"/>
    <m/>
    <s v="De mandamento et infra mandamento et juridictione castri Devesset"/>
    <s v="Devesset, in turre supra portam"/>
    <s v="Girandus Girandi de Pulinaco"/>
    <s v="Vitale Sanhas"/>
    <s v="Bertranda Bruni de Chalmetis"/>
    <m/>
    <m/>
    <m/>
    <m/>
  </r>
  <r>
    <n v="1741"/>
    <m/>
    <s v="Poncius et Petronilla"/>
    <s v="Brunii"/>
    <x v="5"/>
    <m/>
    <s v="Filii Guillermus Brunii de Chalmetas condam"/>
    <m/>
    <s v="G"/>
    <n v="1343"/>
    <m/>
    <s v="Die Jonis post festum iunentionis sancte crucis"/>
    <s v="Raynaud de Fay"/>
    <s v="Promisit esse fidelis tenementarius domus Devesseti"/>
    <x v="0"/>
    <m/>
    <m/>
    <m/>
    <m/>
    <m/>
    <m/>
    <s v="Constractus emphiteotarii"/>
    <x v="0"/>
    <x v="0"/>
    <x v="1"/>
    <x v="0"/>
    <x v="3"/>
    <x v="0"/>
    <x v="0"/>
    <x v="4"/>
    <x v="0"/>
    <x v="0"/>
    <x v="0"/>
    <s v="Non"/>
    <x v="3"/>
    <x v="0"/>
    <x v="0"/>
    <x v="0"/>
    <x v="0"/>
    <x v="0"/>
    <x v="0"/>
    <x v="5"/>
    <x v="0"/>
    <x v="0"/>
    <x v="0"/>
    <x v="0"/>
    <x v="0"/>
    <x v="0"/>
    <x v="0"/>
    <x v="0"/>
    <x v="0"/>
    <x v="0"/>
    <x v="0"/>
    <x v="0"/>
    <x v="0"/>
    <x v="0"/>
    <x v="0"/>
    <x v="0"/>
    <x v="0"/>
    <x v="0"/>
    <x v="0"/>
    <x v="0"/>
    <x v="0"/>
    <x v="0"/>
    <m/>
    <s v="Petiam terre + 5 petiam + pratum + nemus + partem calme + partem terre communis + Partem sibi continuentem de calma"/>
    <m/>
    <m/>
    <s v="Borzeza"/>
    <n v="0"/>
    <n v="0"/>
    <n v="0"/>
    <n v="0"/>
    <n v="0"/>
    <n v="0"/>
    <n v="0.5"/>
    <n v="0.25"/>
    <n v="0"/>
    <n v="0"/>
    <n v="0"/>
    <n v="0"/>
    <n v="0"/>
    <n v="0"/>
    <n v="0"/>
    <n v="0"/>
    <n v="0"/>
    <n v="0"/>
    <n v="0"/>
    <n v="0"/>
    <n v="0"/>
    <n v="0"/>
    <n v="0"/>
    <n v="0"/>
    <m/>
    <n v="0.66666666666666663"/>
    <n v="0"/>
    <n v="0"/>
    <n v="0"/>
    <n v="0"/>
    <m/>
    <s v="Toussaint"/>
    <m/>
    <m/>
    <s v="Devesset, in turre supra portam"/>
    <s v="Girandus Girandi de Pulinaco"/>
    <s v="Guillermus del Cros de la Rocha"/>
    <s v="Petro Malpinha"/>
    <m/>
    <m/>
    <m/>
    <m/>
  </r>
  <r>
    <n v="1731"/>
    <m/>
    <s v="Matheus"/>
    <s v="Rochandi"/>
    <x v="6"/>
    <m/>
    <m/>
    <m/>
    <s v="H"/>
    <n v="1343"/>
    <m/>
    <s v="Die Jonis post festum iunentionis sancte crucis"/>
    <s v="Raynaud de Fay"/>
    <s v="Homo-licgius, justitabilis et expletabilis"/>
    <x v="0"/>
    <s v="Non"/>
    <s v="Oui"/>
    <s v="Oui"/>
    <s v="Oui"/>
    <s v="Non"/>
    <m/>
    <s v="Constractus emphiteotarii"/>
    <x v="3"/>
    <x v="1"/>
    <x v="1"/>
    <x v="0"/>
    <x v="0"/>
    <x v="0"/>
    <x v="0"/>
    <x v="1"/>
    <x v="0"/>
    <x v="0"/>
    <x v="0"/>
    <s v="Non"/>
    <x v="0"/>
    <x v="0"/>
    <x v="0"/>
    <x v="0"/>
    <x v="0"/>
    <x v="0"/>
    <x v="0"/>
    <x v="5"/>
    <x v="0"/>
    <x v="0"/>
    <x v="0"/>
    <x v="0"/>
    <x v="0"/>
    <x v="0"/>
    <x v="0"/>
    <x v="0"/>
    <x v="0"/>
    <x v="0"/>
    <x v="0"/>
    <x v="0"/>
    <x v="0"/>
    <x v="0"/>
    <x v="0"/>
    <x v="0"/>
    <x v="0"/>
    <x v="0"/>
    <x v="0"/>
    <x v="0"/>
    <x v="0"/>
    <x v="0"/>
    <m/>
    <s v="1 domum + 2 ortum + 5 petiam + pratum"/>
    <m/>
    <m/>
    <s v="Borzeza"/>
    <n v="0.5"/>
    <n v="0"/>
    <n v="0"/>
    <n v="0"/>
    <n v="0"/>
    <n v="0"/>
    <n v="1.1666666666666667"/>
    <n v="0"/>
    <n v="0"/>
    <n v="0"/>
    <n v="0"/>
    <n v="0"/>
    <n v="0"/>
    <n v="1.1666666666666667"/>
    <n v="0"/>
    <n v="0"/>
    <n v="0"/>
    <n v="0"/>
    <n v="0"/>
    <n v="0"/>
    <n v="0"/>
    <n v="0"/>
    <n v="0"/>
    <n v="0"/>
    <m/>
    <n v="1"/>
    <n v="0"/>
    <n v="0"/>
    <n v="0"/>
    <n v="0"/>
    <s v="Talha"/>
    <s v="Toussaint"/>
    <m/>
    <m/>
    <s v="Devesset, in turre supra portam"/>
    <s v="Girandus Girandi de Pulinaco"/>
    <s v="Johanne de Podio Garneir"/>
    <s v="Guillermus del Cros de Ruppe"/>
    <m/>
    <m/>
    <m/>
    <m/>
  </r>
  <r>
    <n v="1791"/>
    <m/>
    <s v="Johannes"/>
    <s v="Brunii"/>
    <x v="6"/>
    <m/>
    <s v="Filius Martini Brunii"/>
    <m/>
    <s v="H"/>
    <n v="1343"/>
    <s v="Janvier"/>
    <n v="7"/>
    <s v="Raynaud de Fay"/>
    <s v="Promisit esse bonus et fidelis tenementarius domus Devesseti"/>
    <x v="0"/>
    <m/>
    <m/>
    <m/>
    <m/>
    <m/>
    <m/>
    <s v="Constractus emphiteotarii"/>
    <x v="0"/>
    <x v="0"/>
    <x v="4"/>
    <x v="0"/>
    <x v="3"/>
    <x v="0"/>
    <x v="0"/>
    <x v="1"/>
    <x v="0"/>
    <x v="0"/>
    <x v="0"/>
    <s v="Non"/>
    <x v="0"/>
    <x v="0"/>
    <x v="0"/>
    <x v="0"/>
    <x v="0"/>
    <x v="0"/>
    <x v="0"/>
    <x v="4"/>
    <x v="0"/>
    <x v="0"/>
    <x v="0"/>
    <x v="0"/>
    <x v="0"/>
    <x v="0"/>
    <x v="0"/>
    <x v="0"/>
    <x v="0"/>
    <x v="0"/>
    <x v="0"/>
    <x v="0"/>
    <x v="0"/>
    <x v="0"/>
    <x v="0"/>
    <x v="0"/>
    <x v="0"/>
    <x v="0"/>
    <x v="0"/>
    <x v="0"/>
    <x v="0"/>
    <x v="0"/>
    <m/>
    <s v="Petias + petiam + 2 pratum + nemus"/>
    <m/>
    <m/>
    <s v="Saint-Agrève"/>
    <n v="0"/>
    <n v="0"/>
    <n v="0"/>
    <n v="0"/>
    <n v="0"/>
    <n v="0"/>
    <n v="0"/>
    <n v="1.5"/>
    <n v="0"/>
    <n v="0.5"/>
    <n v="0"/>
    <n v="0"/>
    <n v="0"/>
    <n v="0"/>
    <n v="1.5"/>
    <n v="0"/>
    <n v="0"/>
    <n v="0"/>
    <n v="0"/>
    <n v="0"/>
    <n v="0"/>
    <n v="0"/>
    <n v="0"/>
    <n v="0"/>
    <m/>
    <n v="0.58333333333333337"/>
    <n v="1"/>
    <n v="0"/>
    <n v="0.5"/>
    <n v="0"/>
    <m/>
    <s v="Toussaint"/>
    <m/>
    <m/>
    <s v="Devesset, in turre supra portam"/>
    <s v="Girandus Girandi de Pulinaco"/>
    <s v="Fratre Jacobi de Chalmetis"/>
    <s v="Bonico de Vacharessas"/>
    <m/>
    <m/>
    <m/>
    <m/>
  </r>
  <r>
    <n v="1141"/>
    <s v="Page barrée"/>
    <s v="Thomas"/>
    <s v="Servienti de Chanpanhac"/>
    <x v="7"/>
    <m/>
    <m/>
    <m/>
    <s v="H"/>
    <n v="1343"/>
    <s v="Octobre"/>
    <n v="13"/>
    <s v="Raynaud de Fay"/>
    <m/>
    <x v="0"/>
    <m/>
    <m/>
    <m/>
    <m/>
    <m/>
    <m/>
    <s v="Constractus emphiteo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66666666666666663"/>
    <n v="0"/>
    <n v="0"/>
    <n v="0"/>
    <n v="0"/>
    <m/>
    <s v="Toussaint"/>
    <s v="De juridictione…"/>
    <m/>
    <m/>
    <m/>
    <m/>
    <m/>
    <m/>
    <m/>
    <m/>
    <m/>
  </r>
  <r>
    <n v="721"/>
    <s v="Marge illisible"/>
    <s v="Petrus"/>
    <s v="Faureti"/>
    <x v="8"/>
    <m/>
    <m/>
    <m/>
    <s v="H"/>
    <n v="1343"/>
    <s v="Mai"/>
    <n v="13"/>
    <s v="Raynaud de Fay"/>
    <s v="Mulier-licgia, justitabilis et expletabilis"/>
    <x v="1"/>
    <s v="Non"/>
    <s v="Oui"/>
    <s v="Oui"/>
    <s v="Oui"/>
    <s v="Non"/>
    <s v="Avec bœufs et animaux"/>
    <s v="Contractus emphiteotitarii"/>
    <x v="3"/>
    <x v="4"/>
    <x v="2"/>
    <x v="0"/>
    <x v="0"/>
    <x v="0"/>
    <x v="1"/>
    <x v="1"/>
    <x v="0"/>
    <x v="0"/>
    <x v="0"/>
    <s v="Non"/>
    <x v="0"/>
    <x v="0"/>
    <x v="0"/>
    <x v="0"/>
    <x v="0"/>
    <x v="0"/>
    <x v="0"/>
    <x v="0"/>
    <x v="0"/>
    <x v="0"/>
    <x v="0"/>
    <x v="0"/>
    <x v="0"/>
    <x v="0"/>
    <x v="0"/>
    <x v="0"/>
    <x v="0"/>
    <x v="0"/>
    <x v="0"/>
    <x v="0"/>
    <x v="0"/>
    <x v="0"/>
    <x v="0"/>
    <x v="0"/>
    <x v="0"/>
    <x v="0"/>
    <x v="0"/>
    <x v="0"/>
    <x v="0"/>
    <x v="0"/>
    <m/>
    <s v="Domum + prata + pasturalia"/>
    <m/>
    <m/>
    <s v="Fay"/>
    <n v="0.5"/>
    <n v="0"/>
    <n v="0"/>
    <n v="0"/>
    <n v="0"/>
    <n v="0"/>
    <n v="1.5"/>
    <n v="0"/>
    <n v="0"/>
    <n v="0"/>
    <n v="0"/>
    <n v="0"/>
    <n v="0"/>
    <n v="1.5"/>
    <n v="0"/>
    <n v="0"/>
    <n v="0"/>
    <n v="0"/>
    <n v="0"/>
    <n v="0"/>
    <n v="0"/>
    <n v="0"/>
    <n v="0"/>
    <n v="0"/>
    <m/>
    <n v="1.6666666666666667"/>
    <n v="0"/>
    <n v="0"/>
    <n v="0"/>
    <n v="0"/>
    <m/>
    <s v="Toussaint"/>
    <m/>
    <s v="De juridictione et dominatione castri seu domus Devesseti"/>
    <s v="Devesset, in turre supra portam"/>
    <s v="Girandus Girandi de Pulinaco"/>
    <s v="Fratre Johane Meruli"/>
    <s v="Eustachio de Quinteo clericus de Malagayta"/>
    <s v="Johane de Malagayta"/>
    <m/>
    <m/>
    <s v="In quadam compositione olim facta inter dominum aniciensis episcopum et domum Devesseti"/>
  </r>
  <r>
    <n v="731"/>
    <m/>
    <s v="Petrus"/>
    <s v="Aucelli"/>
    <x v="8"/>
    <m/>
    <s v="Filius Guigone Aucelli"/>
    <s v="Pro eius uxoris"/>
    <s v="H"/>
    <n v="1343"/>
    <s v="Mai"/>
    <n v="13"/>
    <s v="Raynaud de Fay"/>
    <s v="Promisit esse fidelis tenementarius domus Devesseti"/>
    <x v="0"/>
    <m/>
    <m/>
    <m/>
    <m/>
    <m/>
    <m/>
    <s v="Contractus emphiteotitarii"/>
    <x v="0"/>
    <x v="0"/>
    <x v="0"/>
    <x v="0"/>
    <x v="0"/>
    <x v="0"/>
    <x v="4"/>
    <x v="4"/>
    <x v="0"/>
    <x v="0"/>
    <x v="0"/>
    <s v="Non"/>
    <x v="0"/>
    <x v="0"/>
    <x v="0"/>
    <x v="0"/>
    <x v="0"/>
    <x v="0"/>
    <x v="0"/>
    <x v="0"/>
    <x v="0"/>
    <x v="0"/>
    <x v="0"/>
    <x v="0"/>
    <x v="0"/>
    <x v="0"/>
    <x v="0"/>
    <x v="0"/>
    <x v="0"/>
    <x v="0"/>
    <x v="0"/>
    <x v="0"/>
    <x v="0"/>
    <x v="0"/>
    <x v="0"/>
    <x v="0"/>
    <x v="0"/>
    <x v="0"/>
    <x v="0"/>
    <x v="0"/>
    <x v="0"/>
    <x v="0"/>
    <m/>
    <s v="Terre petia + pasturale"/>
    <m/>
    <s v="Femme"/>
    <s v="Fay"/>
    <n v="0"/>
    <n v="0"/>
    <n v="1"/>
    <n v="0"/>
    <n v="0"/>
    <n v="0"/>
    <n v="0"/>
    <n v="0"/>
    <n v="0"/>
    <n v="0"/>
    <n v="0"/>
    <n v="0"/>
    <n v="0"/>
    <n v="0"/>
    <n v="0"/>
    <n v="0"/>
    <n v="0"/>
    <n v="0"/>
    <n v="0"/>
    <n v="0"/>
    <n v="0"/>
    <n v="0"/>
    <n v="0"/>
    <n v="0"/>
    <m/>
    <n v="8.3333333333333329E-2"/>
    <n v="0"/>
    <n v="0"/>
    <n v="0"/>
    <n v="0"/>
    <m/>
    <s v="Toussaint"/>
    <m/>
    <s v="De juridictione castri Devesseti"/>
    <s v="Devesset, in turre supra portam"/>
    <s v="Girandus Girandi de Pulinaco"/>
    <s v="Fratre Johane Meruli"/>
    <s v="Eustachio de Quinteo clericus de Malagayta"/>
    <s v="Johane de Malagayta"/>
    <m/>
    <m/>
    <s v="In quadam compositione olim facta inter dominum aniciensis episcopum et domum Devesseti"/>
  </r>
  <r>
    <n v="741"/>
    <s v="Marge illisible"/>
    <s v="Guillermus"/>
    <s v="De Ponte"/>
    <x v="8"/>
    <m/>
    <s v="Filius Vitalis de Ponte"/>
    <m/>
    <s v="H"/>
    <n v="1343"/>
    <s v="Mai"/>
    <n v="13"/>
    <s v="Raynaud de Fay"/>
    <s v="Promisit esse fidelis tenementarius domus Devesseti"/>
    <x v="0"/>
    <m/>
    <m/>
    <m/>
    <m/>
    <m/>
    <m/>
    <s v="Contractus emphiteotitarii"/>
    <x v="0"/>
    <x v="0"/>
    <x v="5"/>
    <x v="3"/>
    <x v="0"/>
    <x v="0"/>
    <x v="4"/>
    <x v="1"/>
    <x v="0"/>
    <x v="0"/>
    <x v="0"/>
    <s v="Non"/>
    <x v="0"/>
    <x v="0"/>
    <x v="0"/>
    <x v="0"/>
    <x v="0"/>
    <x v="0"/>
    <x v="0"/>
    <x v="0"/>
    <x v="0"/>
    <x v="0"/>
    <x v="0"/>
    <x v="0"/>
    <x v="0"/>
    <x v="0"/>
    <x v="0"/>
    <x v="0"/>
    <x v="0"/>
    <x v="0"/>
    <x v="0"/>
    <x v="0"/>
    <x v="0"/>
    <x v="0"/>
    <x v="0"/>
    <x v="0"/>
    <x v="0"/>
    <x v="0"/>
    <x v="0"/>
    <x v="0"/>
    <x v="0"/>
    <x v="0"/>
    <m/>
    <m/>
    <m/>
    <m/>
    <s v="Fay"/>
    <n v="0"/>
    <n v="0.5"/>
    <n v="0"/>
    <n v="0"/>
    <n v="0"/>
    <n v="0"/>
    <n v="3"/>
    <n v="0"/>
    <n v="0"/>
    <n v="0"/>
    <n v="0"/>
    <n v="0"/>
    <n v="0"/>
    <n v="0"/>
    <n v="0"/>
    <n v="0"/>
    <n v="0"/>
    <n v="0"/>
    <n v="0"/>
    <n v="0"/>
    <n v="0"/>
    <n v="0"/>
    <n v="0"/>
    <n v="0"/>
    <s v="Prato"/>
    <n v="1.8333333333333333"/>
    <n v="0"/>
    <n v="0"/>
    <n v="0"/>
    <n v="0"/>
    <m/>
    <s v="Toussaint"/>
    <m/>
    <m/>
    <s v="Devesset, in turre supra portam"/>
    <s v="Girandus Girandi de Pulinaco"/>
    <s v="Fratre Johane Meruli"/>
    <s v="Eustachio de Quinteo clericus de Malagayta"/>
    <s v="Johane de Malagayta"/>
    <m/>
    <m/>
    <m/>
  </r>
  <r>
    <n v="742"/>
    <s v="Marge illisible"/>
    <s v="Guillermus"/>
    <s v="De Ponte"/>
    <x v="8"/>
    <m/>
    <s v="Filius Vitalis de Ponte"/>
    <m/>
    <s v="H"/>
    <n v="1343"/>
    <s v="Février"/>
    <n v="23"/>
    <s v="Raynaud de Fay"/>
    <s v="Promisit esse fidelis tenementarius domus Devesseti"/>
    <x v="0"/>
    <m/>
    <m/>
    <m/>
    <m/>
    <m/>
    <m/>
    <m/>
    <x v="0"/>
    <x v="0"/>
    <x v="1"/>
    <x v="0"/>
    <x v="0"/>
    <x v="0"/>
    <x v="0"/>
    <x v="1"/>
    <x v="0"/>
    <x v="0"/>
    <x v="0"/>
    <s v="Non"/>
    <x v="0"/>
    <x v="0"/>
    <x v="0"/>
    <x v="0"/>
    <x v="0"/>
    <x v="0"/>
    <x v="0"/>
    <x v="0"/>
    <x v="0"/>
    <x v="0"/>
    <x v="0"/>
    <x v="0"/>
    <x v="0"/>
    <x v="0"/>
    <x v="0"/>
    <x v="0"/>
    <x v="0"/>
    <x v="0"/>
    <x v="0"/>
    <x v="0"/>
    <x v="0"/>
    <x v="0"/>
    <x v="0"/>
    <x v="0"/>
    <x v="0"/>
    <x v="0"/>
    <x v="0"/>
    <x v="0"/>
    <x v="0"/>
    <x v="0"/>
    <m/>
    <s v="Pratum + Domum Aliza de Ponte"/>
    <m/>
    <m/>
    <m/>
    <n v="0"/>
    <n v="0"/>
    <n v="0"/>
    <n v="0"/>
    <n v="0"/>
    <n v="0"/>
    <n v="0"/>
    <n v="0"/>
    <n v="0"/>
    <n v="0"/>
    <n v="0"/>
    <n v="0"/>
    <n v="0"/>
    <n v="0"/>
    <n v="0"/>
    <n v="0"/>
    <n v="0"/>
    <n v="0"/>
    <n v="0"/>
    <n v="0"/>
    <n v="0"/>
    <n v="0"/>
    <n v="0"/>
    <n v="0"/>
    <s v="Pratum"/>
    <n v="0.16666666666666666"/>
    <n v="0"/>
    <n v="0"/>
    <n v="0"/>
    <n v="0"/>
    <m/>
    <s v="Toussaint"/>
    <m/>
    <m/>
    <s v="Devesset, in turre supra portam"/>
    <s v="Girandus Girandi de Pulinaco"/>
    <s v="Jacobo de Molendino"/>
    <s v="Alisa de Ponte"/>
    <m/>
    <m/>
    <m/>
    <m/>
  </r>
  <r>
    <n v="743"/>
    <s v="Marge illisible"/>
    <s v="Aliza"/>
    <s v="De Ponte"/>
    <x v="8"/>
    <m/>
    <m/>
    <s v="Nomine suis iberorum"/>
    <s v="H"/>
    <n v="1343"/>
    <s v="Février"/>
    <n v="23"/>
    <s v="Raynaud de Fay"/>
    <s v="Mulier-licgia, justitabilis et expletabilis"/>
    <x v="0"/>
    <m/>
    <m/>
    <m/>
    <m/>
    <m/>
    <m/>
    <m/>
    <x v="3"/>
    <x v="0"/>
    <x v="0"/>
    <x v="0"/>
    <x v="0"/>
    <x v="0"/>
    <x v="0"/>
    <x v="1"/>
    <x v="0"/>
    <x v="0"/>
    <x v="0"/>
    <s v="Non"/>
    <x v="0"/>
    <x v="0"/>
    <x v="0"/>
    <x v="0"/>
    <x v="0"/>
    <x v="0"/>
    <x v="0"/>
    <x v="0"/>
    <x v="0"/>
    <x v="0"/>
    <x v="0"/>
    <x v="0"/>
    <x v="0"/>
    <x v="0"/>
    <x v="0"/>
    <x v="0"/>
    <x v="0"/>
    <x v="0"/>
    <x v="0"/>
    <x v="0"/>
    <x v="0"/>
    <x v="0"/>
    <x v="0"/>
    <x v="0"/>
    <x v="0"/>
    <x v="0"/>
    <x v="0"/>
    <x v="0"/>
    <x v="0"/>
    <x v="0"/>
    <s v="Successoribus esse debent homine licgii domus Devesseti"/>
    <m/>
    <m/>
    <s v="Enfants"/>
    <m/>
    <m/>
    <m/>
    <m/>
    <m/>
    <m/>
    <m/>
    <m/>
    <m/>
    <m/>
    <n v="0"/>
    <m/>
    <m/>
    <m/>
    <m/>
    <m/>
    <m/>
    <m/>
    <m/>
    <m/>
    <m/>
    <m/>
    <m/>
    <m/>
    <m/>
    <s v="Payé par Guillermo de Ponte"/>
    <m/>
    <m/>
    <m/>
    <m/>
    <m/>
    <m/>
    <m/>
    <m/>
    <m/>
    <s v="Devesset, in turre supra portam"/>
    <s v="Girandus Girandi de Pulinaco"/>
    <s v="Jacobo de Molendino"/>
    <s v="Guillermo de Ponte"/>
    <m/>
    <m/>
    <m/>
    <m/>
  </r>
  <r>
    <n v="751"/>
    <s v="Marge illisible"/>
    <s v="Jacobus"/>
    <s v="De Molendino"/>
    <x v="8"/>
    <m/>
    <s v="Filius Martini de Molendino de Chanclausa"/>
    <m/>
    <s v="H"/>
    <n v="1343"/>
    <s v="Mai"/>
    <n v="13"/>
    <s v="Raynaud de Fay"/>
    <s v="Promisit esse fidelis tenementarius domus Devesseti"/>
    <x v="0"/>
    <m/>
    <m/>
    <m/>
    <m/>
    <m/>
    <m/>
    <s v="Contractus emphiteotitarii"/>
    <x v="0"/>
    <x v="4"/>
    <x v="4"/>
    <x v="0"/>
    <x v="0"/>
    <x v="0"/>
    <x v="5"/>
    <x v="4"/>
    <x v="0"/>
    <x v="0"/>
    <x v="0"/>
    <s v="Non"/>
    <x v="0"/>
    <x v="0"/>
    <x v="0"/>
    <x v="0"/>
    <x v="0"/>
    <x v="0"/>
    <x v="0"/>
    <x v="1"/>
    <x v="2"/>
    <x v="0"/>
    <x v="0"/>
    <x v="0"/>
    <x v="0"/>
    <x v="0"/>
    <x v="0"/>
    <x v="0"/>
    <x v="0"/>
    <x v="0"/>
    <x v="0"/>
    <x v="0"/>
    <x v="0"/>
    <x v="0"/>
    <x v="0"/>
    <x v="0"/>
    <x v="0"/>
    <x v="0"/>
    <x v="0"/>
    <x v="0"/>
    <x v="0"/>
    <x v="0"/>
    <m/>
    <s v="4 petia + 1 ortum + 2 pasturale 2 prata + 1 esclausam"/>
    <m/>
    <m/>
    <s v="Fay"/>
    <n v="0"/>
    <n v="0"/>
    <n v="0"/>
    <n v="1"/>
    <n v="0"/>
    <n v="0"/>
    <n v="0"/>
    <n v="0"/>
    <n v="1"/>
    <n v="0"/>
    <n v="0"/>
    <n v="0"/>
    <n v="0"/>
    <n v="0"/>
    <n v="0"/>
    <n v="1"/>
    <n v="0"/>
    <n v="0"/>
    <n v="0"/>
    <n v="0"/>
    <n v="0"/>
    <n v="0"/>
    <n v="0"/>
    <n v="0"/>
    <m/>
    <n v="0.5"/>
    <n v="0"/>
    <n v="0"/>
    <n v="0"/>
    <n v="0"/>
    <m/>
    <s v="Toussaint"/>
    <m/>
    <s v="De juridictione et dominatione senhorio castri Devesseti"/>
    <s v="Devesset, in turre supra portam"/>
    <s v="Girandus Girandi de Pulinaco"/>
    <s v="Fratre Johane Meruli"/>
    <s v="Eustachio de Quinteo clericus de Malagayta"/>
    <s v="Johane de Malagayta"/>
    <m/>
    <m/>
    <s v="In quadam compositione olim facta inter dominum aniciensis episcopum et domum Devesseti"/>
  </r>
  <r>
    <n v="791"/>
    <s v="Marge illisible"/>
    <s v="Staphanis"/>
    <s v="Brossardi de Font Moreta"/>
    <x v="8"/>
    <m/>
    <m/>
    <s v="Nomine uxoris sue"/>
    <s v="H"/>
    <n v="1343"/>
    <s v="Mai"/>
    <n v="20"/>
    <s v="Raynaud de Fay"/>
    <s v="Promisit esse fidelis tenementarius domus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s v="Femme"/>
    <m/>
    <n v="0"/>
    <n v="0"/>
    <n v="0"/>
    <n v="0"/>
    <n v="0"/>
    <n v="0"/>
    <n v="0"/>
    <n v="0"/>
    <n v="0"/>
    <n v="0"/>
    <n v="0"/>
    <n v="0"/>
    <n v="0"/>
    <n v="0"/>
    <n v="0"/>
    <n v="0"/>
    <n v="0"/>
    <n v="0"/>
    <n v="0"/>
    <n v="0"/>
    <n v="0"/>
    <n v="0"/>
    <n v="0"/>
    <n v="0"/>
    <s v="Pratum"/>
    <n v="0.16666666666666666"/>
    <n v="0"/>
    <n v="0"/>
    <n v="0"/>
    <n v="0"/>
    <m/>
    <s v="Toussaint"/>
    <s v="De juridictine et senhoria"/>
    <s v="Castri Devesseti"/>
    <s v="Devesset, sub estris"/>
    <s v="Girandus Girandi de Pulinaco"/>
    <s v="Magistro Johane Maynerii"/>
    <s v="Fratre Petro de Casalibus"/>
    <s v="Petro Manelha de Font Morera"/>
    <m/>
    <m/>
    <s v="In quadam compositione olim facta inter dominum aniciensis episcopum et domum Devesseti"/>
  </r>
  <r>
    <n v="792"/>
    <s v="Marge illisible"/>
    <s v="Johanes"/>
    <s v="Chanclausus Dorba"/>
    <x v="8"/>
    <m/>
    <m/>
    <m/>
    <s v="H"/>
    <n v="1343"/>
    <s v="Mai"/>
    <n v="24"/>
    <s v="Raynaud de Fay"/>
    <s v="Promisit esse fidelis tenementarius domus Devesseti"/>
    <x v="0"/>
    <m/>
    <m/>
    <m/>
    <m/>
    <m/>
    <m/>
    <m/>
    <x v="0"/>
    <x v="0"/>
    <x v="6"/>
    <x v="0"/>
    <x v="0"/>
    <x v="0"/>
    <x v="4"/>
    <x v="1"/>
    <x v="0"/>
    <x v="0"/>
    <x v="0"/>
    <s v="Non"/>
    <x v="0"/>
    <x v="0"/>
    <x v="0"/>
    <x v="0"/>
    <x v="0"/>
    <x v="0"/>
    <x v="0"/>
    <x v="1"/>
    <x v="0"/>
    <x v="2"/>
    <x v="0"/>
    <x v="0"/>
    <x v="0"/>
    <x v="0"/>
    <x v="0"/>
    <x v="0"/>
    <x v="0"/>
    <x v="0"/>
    <x v="0"/>
    <x v="0"/>
    <x v="0"/>
    <x v="0"/>
    <x v="0"/>
    <x v="0"/>
    <x v="0"/>
    <x v="0"/>
    <x v="0"/>
    <x v="0"/>
    <x v="0"/>
    <x v="0"/>
    <m/>
    <s v="4 Prata + 3 Petiae + 1 Pasturale + 1 Terminus"/>
    <m/>
    <m/>
    <s v="Fay"/>
    <n v="0"/>
    <n v="0"/>
    <n v="0"/>
    <n v="0"/>
    <n v="0"/>
    <n v="0"/>
    <n v="1"/>
    <n v="0"/>
    <n v="0"/>
    <n v="0"/>
    <n v="0"/>
    <n v="0"/>
    <n v="0"/>
    <n v="1"/>
    <n v="0"/>
    <n v="0"/>
    <n v="0"/>
    <n v="0"/>
    <n v="0"/>
    <n v="0"/>
    <n v="0"/>
    <n v="0"/>
    <n v="0"/>
    <n v="0"/>
    <m/>
    <n v="0.25"/>
    <n v="0"/>
    <n v="0"/>
    <n v="0"/>
    <n v="0"/>
    <m/>
    <s v="Toussaint"/>
    <s v="De juridictine et senhoria"/>
    <s v="Castri Devesseti"/>
    <s v="Devesset, in turre supra portam"/>
    <s v="Girandus Girandi de Pulinaco"/>
    <s v="Durando Matello"/>
    <s v="Johane Sabaterii de Chambone"/>
    <m/>
    <m/>
    <m/>
    <s v="In quadam compositione olim facta inter dominum aniciensis episcopum et domum Devesseti"/>
  </r>
  <r>
    <n v="821"/>
    <s v="Marge illisible"/>
    <s v="Johannes"/>
    <s v="Aucelli Dorba"/>
    <x v="8"/>
    <s v="Parrochie de Chanclausa Aniciensis Diocesis"/>
    <m/>
    <m/>
    <s v="H"/>
    <n v="1343"/>
    <s v="Août"/>
    <n v="29"/>
    <s v="Raynaud de Fay"/>
    <s v="Promisit esse fidelis tenementarius domus Devesseti"/>
    <x v="0"/>
    <m/>
    <m/>
    <m/>
    <m/>
    <m/>
    <m/>
    <s v="Contractus emphiteotitarii"/>
    <x v="0"/>
    <x v="0"/>
    <x v="5"/>
    <x v="0"/>
    <x v="0"/>
    <x v="0"/>
    <x v="0"/>
    <x v="1"/>
    <x v="0"/>
    <x v="0"/>
    <x v="0"/>
    <s v="Non"/>
    <x v="0"/>
    <x v="0"/>
    <x v="0"/>
    <x v="0"/>
    <x v="0"/>
    <x v="0"/>
    <x v="0"/>
    <x v="0"/>
    <x v="0"/>
    <x v="0"/>
    <x v="0"/>
    <x v="0"/>
    <x v="0"/>
    <x v="0"/>
    <x v="0"/>
    <x v="0"/>
    <x v="0"/>
    <x v="0"/>
    <x v="0"/>
    <x v="0"/>
    <x v="0"/>
    <x v="0"/>
    <x v="0"/>
    <x v="0"/>
    <x v="0"/>
    <x v="0"/>
    <x v="0"/>
    <x v="0"/>
    <x v="0"/>
    <x v="0"/>
    <s v="Censum anuum seu canone"/>
    <s v="3 pratum"/>
    <m/>
    <m/>
    <m/>
    <n v="0"/>
    <n v="0"/>
    <n v="0"/>
    <n v="0"/>
    <n v="0"/>
    <n v="0"/>
    <n v="0"/>
    <n v="0"/>
    <n v="0"/>
    <n v="0"/>
    <n v="0"/>
    <n v="0"/>
    <n v="0"/>
    <n v="0"/>
    <n v="0"/>
    <n v="0"/>
    <n v="0"/>
    <n v="0"/>
    <n v="0"/>
    <n v="0"/>
    <n v="0"/>
    <n v="0"/>
    <n v="0"/>
    <n v="0"/>
    <m/>
    <n v="0.25"/>
    <n v="0"/>
    <n v="0"/>
    <n v="0"/>
    <n v="0"/>
    <m/>
    <s v="Toussaint"/>
    <m/>
    <m/>
    <s v="Ville Neuve de Devesset, à côté de la maison de Johannis de Fonte"/>
    <s v="Girandus Girandi de Pulinaco"/>
    <s v="Fratre Johanne Meruli ordinis Hospitalis"/>
    <s v="Guillermo Passamar"/>
    <s v="Johannis Chanclausonis"/>
    <m/>
    <m/>
    <m/>
  </r>
  <r>
    <n v="822"/>
    <s v="Marge illisible"/>
    <s v="Poncius"/>
    <s v="Pastorali Dorba"/>
    <x v="8"/>
    <m/>
    <m/>
    <m/>
    <s v="H"/>
    <n v="1343"/>
    <s v="Août"/>
    <n v="29"/>
    <s v="Raynaud de Fay"/>
    <s v="Promisit esse bonus tenementarius domus Devesseti"/>
    <x v="0"/>
    <m/>
    <m/>
    <m/>
    <m/>
    <m/>
    <m/>
    <m/>
    <x v="0"/>
    <x v="0"/>
    <x v="0"/>
    <x v="0"/>
    <x v="0"/>
    <x v="0"/>
    <x v="4"/>
    <x v="1"/>
    <x v="0"/>
    <x v="0"/>
    <x v="0"/>
    <s v="Non"/>
    <x v="0"/>
    <x v="0"/>
    <x v="0"/>
    <x v="0"/>
    <x v="0"/>
    <x v="0"/>
    <x v="0"/>
    <x v="2"/>
    <x v="0"/>
    <x v="0"/>
    <x v="0"/>
    <x v="0"/>
    <x v="0"/>
    <x v="0"/>
    <x v="0"/>
    <x v="0"/>
    <x v="0"/>
    <x v="0"/>
    <x v="0"/>
    <x v="0"/>
    <x v="0"/>
    <x v="0"/>
    <x v="0"/>
    <x v="0"/>
    <x v="0"/>
    <x v="0"/>
    <x v="0"/>
    <x v="0"/>
    <x v="0"/>
    <x v="0"/>
    <m/>
    <s v="Petiam + Pasturale"/>
    <m/>
    <m/>
    <s v="Fay"/>
    <n v="0"/>
    <n v="0"/>
    <n v="0"/>
    <n v="0"/>
    <n v="0"/>
    <n v="0"/>
    <n v="0"/>
    <n v="0"/>
    <n v="0"/>
    <n v="0"/>
    <n v="0"/>
    <n v="0"/>
    <n v="0"/>
    <n v="1"/>
    <n v="0"/>
    <n v="0"/>
    <n v="0"/>
    <n v="0"/>
    <n v="0"/>
    <n v="0"/>
    <n v="0"/>
    <n v="0"/>
    <n v="0"/>
    <n v="0"/>
    <m/>
    <n v="0"/>
    <n v="0"/>
    <n v="0"/>
    <n v="0"/>
    <n v="0"/>
    <m/>
    <s v="Toussaint"/>
    <s v="De omnimoda juridictione"/>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831"/>
    <s v="Marge illisible"/>
    <s v="Johannes"/>
    <s v="Pelacuer Dorba"/>
    <x v="8"/>
    <m/>
    <m/>
    <m/>
    <s v="H"/>
    <n v="1343"/>
    <s v="Août"/>
    <n v="29"/>
    <s v="Raynaud de Fay"/>
    <s v="Promisit esse bonus tenementarius domus Devesseti"/>
    <x v="0"/>
    <m/>
    <m/>
    <m/>
    <m/>
    <m/>
    <m/>
    <s v="Contractus emphiteotitarii"/>
    <x v="0"/>
    <x v="0"/>
    <x v="4"/>
    <x v="0"/>
    <x v="0"/>
    <x v="0"/>
    <x v="4"/>
    <x v="1"/>
    <x v="0"/>
    <x v="0"/>
    <x v="0"/>
    <s v="Non"/>
    <x v="0"/>
    <x v="0"/>
    <x v="0"/>
    <x v="0"/>
    <x v="0"/>
    <x v="0"/>
    <x v="0"/>
    <x v="6"/>
    <x v="0"/>
    <x v="0"/>
    <x v="0"/>
    <x v="0"/>
    <x v="0"/>
    <x v="0"/>
    <x v="0"/>
    <x v="0"/>
    <x v="0"/>
    <x v="0"/>
    <x v="0"/>
    <x v="0"/>
    <x v="0"/>
    <x v="0"/>
    <x v="0"/>
    <x v="0"/>
    <x v="0"/>
    <x v="0"/>
    <x v="0"/>
    <x v="0"/>
    <x v="0"/>
    <x v="0"/>
    <m/>
    <s v="2 Prati + 2 Petiae + 1 Pasturale"/>
    <m/>
    <m/>
    <s v="Fay"/>
    <n v="0"/>
    <n v="0"/>
    <n v="0"/>
    <n v="0"/>
    <n v="0"/>
    <n v="0"/>
    <n v="1"/>
    <n v="0"/>
    <n v="0"/>
    <n v="0"/>
    <n v="0"/>
    <n v="0"/>
    <n v="0"/>
    <n v="1"/>
    <n v="0"/>
    <n v="0"/>
    <n v="0"/>
    <n v="0"/>
    <n v="0"/>
    <n v="0"/>
    <n v="0"/>
    <n v="0"/>
    <n v="0"/>
    <n v="0"/>
    <m/>
    <n v="0.33333333333333331"/>
    <n v="0"/>
    <n v="0"/>
    <n v="0"/>
    <n v="0"/>
    <m/>
    <s v="Toussaint"/>
    <s v="De juridictine et senhoria"/>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841"/>
    <s v="Marge illisible"/>
    <s v="Thomas"/>
    <s v="Servienti de Chanpanhac"/>
    <x v="8"/>
    <m/>
    <m/>
    <m/>
    <s v="H"/>
    <n v="1343"/>
    <s v="Octobre"/>
    <n v="23"/>
    <s v="Raynaud de Fay"/>
    <s v="Promisit esse bonus et fidelis tenementarius domum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66666666666666663"/>
    <n v="0"/>
    <n v="0"/>
    <n v="0"/>
    <n v="0"/>
    <m/>
    <s v="Toussaint"/>
    <s v="De juridictine et senhoria"/>
    <s v="Castri Devesseti"/>
    <s v="Devesset, in turre supra portam"/>
    <s v="Girandus Girandi de Pulinaco"/>
    <s v="Michaele de Roveria"/>
    <s v="Johanne Sabaterii de Chambone"/>
    <s v="Johanne Blaosii"/>
    <m/>
    <m/>
    <s v="In quadam compositione olim facta inter dominum aniciensis episcopum et domum Devesseti"/>
  </r>
  <r>
    <n v="842"/>
    <s v="Marge illisible"/>
    <s v="Poncius"/>
    <s v="Servienti de Chanpanhac"/>
    <x v="8"/>
    <m/>
    <m/>
    <m/>
    <s v="H"/>
    <n v="1343"/>
    <s v="Octobre"/>
    <n v="23"/>
    <s v="Raynaud de Fay"/>
    <m/>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33333333333333331"/>
    <n v="0"/>
    <n v="0"/>
    <n v="0"/>
    <n v="0"/>
    <m/>
    <s v="Toussaint"/>
    <m/>
    <s v="De juridictione castri Devesseti"/>
    <s v="Devesset, in turre supra portam"/>
    <s v="Girandus Girandi de Pulinaco"/>
    <s v="Michaele de Roveria"/>
    <s v="Johanne Sabaterii de Chambone"/>
    <s v="Johanne Blaosii"/>
    <m/>
    <m/>
    <m/>
  </r>
  <r>
    <n v="843"/>
    <s v="Marge illisible"/>
    <s v="Johannes"/>
    <s v="Servienti de Chanpanhac"/>
    <x v="8"/>
    <m/>
    <m/>
    <m/>
    <s v="H"/>
    <n v="1343"/>
    <s v="Octobre"/>
    <n v="23"/>
    <s v="Raynaud de Fay"/>
    <s v="Promisit esse bonus et fidelis tenementarius domum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1"/>
    <n v="0"/>
    <n v="0"/>
    <n v="0"/>
    <n v="0"/>
    <m/>
    <s v="Toussaint"/>
    <m/>
    <s v="De juridictione castri seu domus Devesseti"/>
    <s v="Devesset, in turre supra portam"/>
    <s v="Girandus Girandi de Pulinaco"/>
    <s v="Michaele de Roveria"/>
    <s v="Johanne Sabaterii de Chambone"/>
    <s v="Johanne Blaosii"/>
    <m/>
    <m/>
    <m/>
  </r>
  <r>
    <n v="851"/>
    <s v="Marge illisible"/>
    <s v="Gregorius"/>
    <s v="Servienti de Chanpanhac"/>
    <x v="8"/>
    <m/>
    <m/>
    <m/>
    <s v="H"/>
    <n v="1343"/>
    <s v="Octobre"/>
    <s v="?"/>
    <s v="Raynaud de Fay"/>
    <s v="Promisit esse bonus et fidelis tenementarius domum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1"/>
    <n v="0"/>
    <n v="0"/>
    <n v="0"/>
    <n v="0"/>
    <m/>
    <s v="Toussaint"/>
    <m/>
    <s v="De juridictione 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52"/>
    <s v="Marge illisible"/>
    <s v="Jacobus"/>
    <s v="Servienti de Chanpanhac"/>
    <x v="8"/>
    <m/>
    <m/>
    <m/>
    <s v="H"/>
    <n v="1343"/>
    <s v="Octobre"/>
    <s v="?"/>
    <s v="Raynaud de Fay"/>
    <m/>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33333333333333331"/>
    <n v="0"/>
    <n v="0"/>
    <n v="0"/>
    <n v="0"/>
    <m/>
    <s v="Toussaint"/>
    <s v="De juridictine et senhoria"/>
    <s v="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61"/>
    <m/>
    <s v="Guillermus"/>
    <s v="Lardayrol de Champahnac"/>
    <x v="8"/>
    <m/>
    <m/>
    <m/>
    <s v="H"/>
    <n v="1343"/>
    <s v="Octobre"/>
    <s v="Die mercuri ante festum omnium sanctorum"/>
    <s v="Raynaud de Fay"/>
    <s v="Promisit esse fidelis tenementarius domus Devesseti"/>
    <x v="0"/>
    <m/>
    <m/>
    <m/>
    <m/>
    <m/>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66666666666666663"/>
    <n v="0"/>
    <n v="0"/>
    <n v="0"/>
    <n v="0"/>
    <m/>
    <s v="Toussaint"/>
    <m/>
    <m/>
    <s v="Chanclausa, dans la maison de Johannis de Ponte sive Borola"/>
    <s v="Girandus Girandi de Pulinaco"/>
    <s v="Matheo Morelli subus de Ruppe Paula"/>
    <s v="Jacobo Morelli subus de Ruppe Paula"/>
    <s v="Petro Del Sapet"/>
    <m/>
    <m/>
    <m/>
  </r>
  <r>
    <n v="862"/>
    <s v="Marge illisible"/>
    <s v="Jacobus"/>
    <s v="Pelacuer Dorba"/>
    <x v="8"/>
    <s v="Parrochie de Chanclausa"/>
    <m/>
    <m/>
    <s v="H"/>
    <n v="1343"/>
    <s v="Octobre"/>
    <s v="Die mercuri ante festum omnium sanctorum"/>
    <s v="Raynaud de Fay"/>
    <m/>
    <x v="0"/>
    <m/>
    <m/>
    <m/>
    <m/>
    <m/>
    <m/>
    <m/>
    <x v="0"/>
    <x v="0"/>
    <x v="4"/>
    <x v="0"/>
    <x v="0"/>
    <x v="0"/>
    <x v="4"/>
    <x v="4"/>
    <x v="0"/>
    <x v="0"/>
    <x v="0"/>
    <s v="Non"/>
    <x v="0"/>
    <x v="0"/>
    <x v="0"/>
    <x v="0"/>
    <x v="0"/>
    <x v="0"/>
    <x v="0"/>
    <x v="0"/>
    <x v="0"/>
    <x v="0"/>
    <x v="0"/>
    <x v="0"/>
    <x v="0"/>
    <x v="0"/>
    <x v="0"/>
    <x v="0"/>
    <x v="0"/>
    <x v="0"/>
    <x v="0"/>
    <x v="0"/>
    <x v="0"/>
    <x v="0"/>
    <x v="0"/>
    <x v="0"/>
    <x v="0"/>
    <x v="0"/>
    <x v="0"/>
    <x v="0"/>
    <x v="0"/>
    <x v="0"/>
    <m/>
    <s v="2 Prati + 1 terre petia + 1 Pasturale"/>
    <m/>
    <m/>
    <s v="Fay"/>
    <n v="0"/>
    <n v="0"/>
    <n v="0"/>
    <n v="0"/>
    <n v="0"/>
    <n v="0"/>
    <n v="0.5"/>
    <n v="0"/>
    <n v="0"/>
    <n v="0"/>
    <n v="0"/>
    <n v="0"/>
    <n v="0"/>
    <n v="0.5"/>
    <n v="0"/>
    <n v="0"/>
    <n v="0"/>
    <n v="0"/>
    <n v="0"/>
    <n v="0"/>
    <n v="0"/>
    <n v="0"/>
    <n v="0"/>
    <n v="0"/>
    <m/>
    <n v="0"/>
    <n v="0"/>
    <n v="0"/>
    <n v="0"/>
    <n v="0"/>
    <m/>
    <s v="Toussaint"/>
    <s v="De juridictine et senhoria"/>
    <s v="Castri Devesseti"/>
    <s v="Chanclausa, dans la maison de Johannis de Ponte sive Borola"/>
    <s v="Girandus Girandi de Pulinaco"/>
    <s v="Matheo Morelli subus de Ruppe Paula"/>
    <s v="Jacobo Morelli subus de Ruppe Paula"/>
    <s v="Petro Del Sapet"/>
    <m/>
    <m/>
    <m/>
  </r>
  <r>
    <n v="863"/>
    <s v="Marge illisible"/>
    <s v="Guillometa"/>
    <s v="Sama"/>
    <x v="8"/>
    <s v="Parrochie de Chanclausa"/>
    <m/>
    <m/>
    <s v="F"/>
    <n v="1343"/>
    <s v="Octobre"/>
    <s v="Die mercuri ante festum omnium sanctorum"/>
    <s v="Raynaud de Fay"/>
    <m/>
    <x v="0"/>
    <m/>
    <m/>
    <m/>
    <m/>
    <m/>
    <m/>
    <m/>
    <x v="0"/>
    <x v="0"/>
    <x v="1"/>
    <x v="0"/>
    <x v="0"/>
    <x v="0"/>
    <x v="4"/>
    <x v="1"/>
    <x v="0"/>
    <x v="0"/>
    <x v="0"/>
    <s v="Non"/>
    <x v="0"/>
    <x v="0"/>
    <x v="0"/>
    <x v="0"/>
    <x v="0"/>
    <x v="0"/>
    <x v="0"/>
    <x v="0"/>
    <x v="0"/>
    <x v="0"/>
    <x v="0"/>
    <x v="0"/>
    <x v="0"/>
    <x v="0"/>
    <x v="0"/>
    <x v="0"/>
    <x v="0"/>
    <x v="0"/>
    <x v="0"/>
    <x v="0"/>
    <x v="0"/>
    <x v="0"/>
    <x v="0"/>
    <x v="0"/>
    <x v="0"/>
    <x v="0"/>
    <x v="0"/>
    <x v="0"/>
    <x v="0"/>
    <x v="0"/>
    <m/>
    <s v="Pratum + Pasturale"/>
    <m/>
    <m/>
    <s v="Fay"/>
    <n v="0"/>
    <n v="0"/>
    <n v="0"/>
    <n v="0"/>
    <n v="0"/>
    <n v="0"/>
    <n v="1.5"/>
    <n v="0"/>
    <n v="0"/>
    <n v="0"/>
    <n v="0"/>
    <n v="0"/>
    <n v="0"/>
    <n v="1.5"/>
    <n v="0"/>
    <n v="0"/>
    <n v="0"/>
    <n v="0"/>
    <n v="0"/>
    <n v="0"/>
    <n v="0"/>
    <n v="0"/>
    <n v="0"/>
    <n v="0"/>
    <s v="Pratum + Pasturale"/>
    <n v="1.6666666666666667"/>
    <n v="0"/>
    <n v="0"/>
    <n v="0"/>
    <n v="0"/>
    <m/>
    <s v="Toussaint"/>
    <s v="De juridictione et censima"/>
    <s v="Castri Devesseti"/>
    <s v="Chanclausa, dans la maison de Johannis de Ponte sive Borola"/>
    <s v="Girandus Girandi de Pulinaco"/>
    <s v="Matheo Morelli subus de Ruppe Paula"/>
    <s v="Jacobo Morelli subus de Ruppe Paula"/>
    <s v="Petro Del Sapet"/>
    <m/>
    <m/>
    <m/>
  </r>
  <r>
    <n v="873"/>
    <s v="Marge illisible"/>
    <s v="Jacobus"/>
    <s v="Boyronis"/>
    <x v="8"/>
    <m/>
    <s v="Filius Guillermus Boyronis de Chanclausa condam"/>
    <s v="Nomine fratrum suorum"/>
    <s v="H"/>
    <n v="1343"/>
    <s v="Décembre"/>
    <n v="31"/>
    <s v="Raynaud de Fay"/>
    <m/>
    <x v="0"/>
    <m/>
    <m/>
    <m/>
    <m/>
    <m/>
    <m/>
    <s v="Contractus emphiteotitarii"/>
    <x v="0"/>
    <x v="4"/>
    <x v="5"/>
    <x v="0"/>
    <x v="0"/>
    <x v="0"/>
    <x v="4"/>
    <x v="1"/>
    <x v="0"/>
    <x v="0"/>
    <x v="0"/>
    <s v="Non"/>
    <x v="0"/>
    <x v="0"/>
    <x v="0"/>
    <x v="0"/>
    <x v="0"/>
    <x v="0"/>
    <x v="0"/>
    <x v="2"/>
    <x v="0"/>
    <x v="0"/>
    <x v="0"/>
    <x v="0"/>
    <x v="0"/>
    <x v="0"/>
    <x v="0"/>
    <x v="0"/>
    <x v="0"/>
    <x v="0"/>
    <x v="0"/>
    <x v="0"/>
    <x v="0"/>
    <x v="0"/>
    <x v="0"/>
    <x v="0"/>
    <x v="0"/>
    <x v="0"/>
    <x v="0"/>
    <x v="0"/>
    <x v="0"/>
    <x v="0"/>
    <m/>
    <s v="3 Prata + 1 petia + 1 pasturale + 1 ortum"/>
    <m/>
    <s v="Frères"/>
    <s v="Fay"/>
    <n v="0"/>
    <n v="0"/>
    <n v="1"/>
    <n v="0"/>
    <n v="0"/>
    <n v="0"/>
    <n v="0"/>
    <n v="0"/>
    <n v="0"/>
    <n v="0"/>
    <n v="0"/>
    <n v="0"/>
    <n v="0"/>
    <n v="1"/>
    <n v="0"/>
    <n v="0"/>
    <n v="0"/>
    <n v="0"/>
    <n v="0"/>
    <n v="0"/>
    <n v="0"/>
    <n v="0"/>
    <n v="0"/>
    <n v="0"/>
    <m/>
    <n v="0.75"/>
    <n v="0"/>
    <n v="0"/>
    <n v="0"/>
    <n v="0"/>
    <m/>
    <s v="Toussaint"/>
    <m/>
    <s v="De juridictione domus Devesseti"/>
    <s v="Devesset, sub estra"/>
    <s v="Girandus Girandi de Pulinaco"/>
    <s v="Poncio Meruli clerico"/>
    <s v="Armando de la Pitandena"/>
    <m/>
    <m/>
    <m/>
    <s v="In quadam compositione olim facta inter dominum aniciensis episcopum et domum Devesseti"/>
  </r>
  <r>
    <n v="1151"/>
    <m/>
    <s v="Johannes"/>
    <s v="De Chanils"/>
    <x v="9"/>
    <m/>
    <s v="Filius Petri de Chanils"/>
    <m/>
    <s v="H"/>
    <n v="1343"/>
    <s v="Décembre"/>
    <n v="5"/>
    <s v="Raynaud de Fay"/>
    <s v="Homo-licgius justitiabilis et expletabilis ad omnimodas voluntates"/>
    <x v="3"/>
    <s v="Non"/>
    <s v="Oui"/>
    <s v="Oui"/>
    <s v="Oui"/>
    <s v="Non"/>
    <m/>
    <s v="Constractus emphiteotarii"/>
    <x v="3"/>
    <x v="4"/>
    <x v="7"/>
    <x v="0"/>
    <x v="0"/>
    <x v="0"/>
    <x v="4"/>
    <x v="1"/>
    <x v="0"/>
    <x v="0"/>
    <x v="0"/>
    <s v="Non"/>
    <x v="0"/>
    <x v="0"/>
    <x v="0"/>
    <x v="0"/>
    <x v="0"/>
    <x v="0"/>
    <x v="0"/>
    <x v="7"/>
    <x v="0"/>
    <x v="0"/>
    <x v="0"/>
    <x v="0"/>
    <x v="0"/>
    <x v="2"/>
    <x v="0"/>
    <x v="0"/>
    <x v="0"/>
    <x v="0"/>
    <x v="0"/>
    <x v="0"/>
    <x v="0"/>
    <x v="0"/>
    <x v="0"/>
    <x v="0"/>
    <x v="0"/>
    <x v="0"/>
    <x v="0"/>
    <x v="0"/>
    <x v="0"/>
    <x v="1"/>
    <m/>
    <s v="Domum + ortum + 9 petiae + 1 pasturale + 5 prati + versana"/>
    <s v="Loco et territorio de Chanils"/>
    <m/>
    <s v="Fay"/>
    <n v="0"/>
    <n v="0"/>
    <n v="0"/>
    <n v="0"/>
    <n v="0"/>
    <n v="0"/>
    <n v="3.5"/>
    <n v="0"/>
    <n v="0"/>
    <n v="0"/>
    <n v="0"/>
    <n v="0"/>
    <n v="0"/>
    <n v="1.5"/>
    <n v="0.5"/>
    <n v="0"/>
    <n v="0"/>
    <n v="0"/>
    <n v="0"/>
    <n v="0"/>
    <n v="0"/>
    <n v="0"/>
    <n v="0"/>
    <n v="0"/>
    <m/>
    <n v="3.9166666666666665"/>
    <n v="1"/>
    <n v="0"/>
    <n v="0"/>
    <n v="0"/>
    <s v="Pasturale + 5 prati"/>
    <s v="Toussaint"/>
    <s v="De juridictione et senhoria"/>
    <s v="Castri Devesseti"/>
    <s v="Devesset, in turre supra portam"/>
    <s v="Girandus Girandi de Pulinaco"/>
    <s v="Fratre Petro de Casalibus"/>
    <s v="Johanne Barerii Dens Chozaleiz"/>
    <m/>
    <m/>
    <m/>
    <s v="in compositione olim facta inter domum Devesseti et domini catri Fayni condam"/>
  </r>
  <r>
    <n v="1161"/>
    <m/>
    <s v="Peyronus et Jacmeta"/>
    <s v="De Chanils"/>
    <x v="9"/>
    <m/>
    <s v="Peyronus filius Guillermi de Chanils condam + Jacmeta relicta Jacobi de Chanils condam"/>
    <s v="Jacmeta nomine liberorum suorum"/>
    <s v="G"/>
    <n v="1343"/>
    <s v="Décembre"/>
    <n v="5"/>
    <s v="Raynaud de Fay"/>
    <s v="Homo-licgius justitiabilis et talhabilies ad omnimodas voluntates"/>
    <x v="0"/>
    <s v="Non"/>
    <s v="Oui"/>
    <s v="Oui"/>
    <s v="Oui"/>
    <s v="Non"/>
    <m/>
    <s v="Constractus emphiteotarii"/>
    <x v="3"/>
    <x v="4"/>
    <x v="5"/>
    <x v="0"/>
    <x v="3"/>
    <x v="0"/>
    <x v="5"/>
    <x v="1"/>
    <x v="0"/>
    <x v="0"/>
    <x v="0"/>
    <s v="Non"/>
    <x v="0"/>
    <x v="0"/>
    <x v="0"/>
    <x v="0"/>
    <x v="0"/>
    <x v="0"/>
    <x v="0"/>
    <x v="7"/>
    <x v="0"/>
    <x v="0"/>
    <x v="0"/>
    <x v="0"/>
    <x v="0"/>
    <x v="0"/>
    <x v="0"/>
    <x v="0"/>
    <x v="0"/>
    <x v="0"/>
    <x v="0"/>
    <x v="0"/>
    <x v="0"/>
    <x v="0"/>
    <x v="0"/>
    <x v="0"/>
    <x v="0"/>
    <x v="0"/>
    <x v="0"/>
    <x v="0"/>
    <x v="0"/>
    <x v="1"/>
    <m/>
    <s v="Domum + ortum + 9 petiae + terrae + 3 Prati + 2 pasturale + 1 nemus"/>
    <m/>
    <m/>
    <s v="Fay"/>
    <n v="0"/>
    <n v="0"/>
    <n v="0"/>
    <n v="0"/>
    <n v="0"/>
    <n v="0"/>
    <n v="0.5"/>
    <n v="0"/>
    <n v="1"/>
    <n v="0"/>
    <n v="0"/>
    <n v="0"/>
    <n v="0"/>
    <n v="1"/>
    <n v="0"/>
    <n v="0"/>
    <n v="0"/>
    <n v="0"/>
    <n v="0"/>
    <n v="0"/>
    <n v="0"/>
    <n v="0"/>
    <n v="0"/>
    <n v="0"/>
    <m/>
    <n v="3.0833333333333335"/>
    <n v="0"/>
    <n v="0"/>
    <n v="0"/>
    <n v="0"/>
    <s v="3 Prati + 2 pasturale + 1 nemus"/>
    <s v="Toussaint"/>
    <m/>
    <m/>
    <s v="Devesset, in turre supra portam"/>
    <s v="Girandus Girandi de Pulinaco"/>
    <s v="Fratre Johanne Meruli"/>
    <s v="Nicolao de Furnis"/>
    <s v="Johanne Dens Chazaetz"/>
    <m/>
    <m/>
    <m/>
  </r>
  <r>
    <n v="1701"/>
    <m/>
    <s v="Poncius"/>
    <s v="De Chanils"/>
    <x v="9"/>
    <m/>
    <m/>
    <m/>
    <s v="H"/>
    <n v="1343"/>
    <s v="Avril"/>
    <n v="16"/>
    <s v="Raynaud de Fay"/>
    <s v="Homo-licgius, justitabilis, talhabilis et expletabilis"/>
    <x v="0"/>
    <s v="Non"/>
    <s v="Oui"/>
    <s v="Oui"/>
    <s v="Oui"/>
    <s v="Non"/>
    <m/>
    <s v="Constractus emphiteotarii"/>
    <x v="2"/>
    <x v="4"/>
    <x v="8"/>
    <x v="0"/>
    <x v="4"/>
    <x v="0"/>
    <x v="0"/>
    <x v="1"/>
    <x v="0"/>
    <x v="0"/>
    <x v="0"/>
    <s v="Non"/>
    <x v="0"/>
    <x v="0"/>
    <x v="0"/>
    <x v="0"/>
    <x v="2"/>
    <x v="0"/>
    <x v="0"/>
    <x v="8"/>
    <x v="0"/>
    <x v="0"/>
    <x v="0"/>
    <x v="0"/>
    <x v="0"/>
    <x v="3"/>
    <x v="0"/>
    <x v="0"/>
    <x v="0"/>
    <x v="0"/>
    <x v="0"/>
    <x v="0"/>
    <x v="0"/>
    <x v="0"/>
    <x v="0"/>
    <x v="0"/>
    <x v="0"/>
    <x v="2"/>
    <x v="0"/>
    <x v="0"/>
    <x v="0"/>
    <x v="0"/>
    <m/>
    <s v="Domos + ortum + 15 petiam + garaytum + 3 versanam + 2 nemus + lameytenchada + 6 pratum"/>
    <m/>
    <m/>
    <s v="Fay"/>
    <n v="0"/>
    <n v="0"/>
    <n v="0"/>
    <n v="0"/>
    <n v="0"/>
    <n v="0"/>
    <n v="1.5"/>
    <n v="0"/>
    <n v="0"/>
    <n v="0"/>
    <n v="0"/>
    <n v="0"/>
    <n v="1"/>
    <n v="0.5"/>
    <n v="0"/>
    <n v="0"/>
    <n v="0"/>
    <n v="0"/>
    <n v="0"/>
    <n v="0"/>
    <n v="0"/>
    <n v="0"/>
    <n v="0"/>
    <n v="0"/>
    <m/>
    <n v="13.833333333333334"/>
    <n v="0"/>
    <n v="0"/>
    <n v="0"/>
    <n v="0"/>
    <s v="Censu et talha + 6 pratum + petiam"/>
    <s v="Toussaint"/>
    <m/>
    <m/>
    <s v="Devesset, sub estram"/>
    <s v="Girandus Girandi de Pulinaco"/>
    <s v="Fratre Petro de Casalibus"/>
    <s v="Nicholao Turri de Firnis"/>
    <s v="Johanne Turini"/>
    <m/>
    <m/>
    <m/>
  </r>
  <r>
    <n v="1181"/>
    <m/>
    <s v="Petrus"/>
    <s v="Rocurliolis"/>
    <x v="10"/>
    <m/>
    <m/>
    <m/>
    <s v="H"/>
    <n v="1343"/>
    <s v="Février"/>
    <n v="4"/>
    <s v="Raynaud de Fay"/>
    <m/>
    <x v="0"/>
    <m/>
    <m/>
    <m/>
    <m/>
    <m/>
    <m/>
    <s v="Constractus emphiteo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s v="Pratum"/>
    <n v="0.25"/>
    <n v="0"/>
    <n v="1"/>
    <n v="0"/>
    <n v="0"/>
    <m/>
    <s v="Toussaint"/>
    <s v="De juridictione"/>
    <s v="Castri Devesseti"/>
    <s v="Devesset, in turre supra portam"/>
    <s v="Girandus Girandi de Pulinaco"/>
    <s v="G. Gastonis domicellis"/>
    <s v="Andree de Galibertis"/>
    <m/>
    <m/>
    <m/>
    <s v="In compositione inter domus Devesseti et Guillermi de Pictano"/>
  </r>
  <r>
    <n v="1183"/>
    <m/>
    <s v="Johannes"/>
    <s v="Montes"/>
    <x v="10"/>
    <m/>
    <m/>
    <s v="Pro Guillerma eius sororis"/>
    <s v="H"/>
    <n v="1343"/>
    <s v="Février"/>
    <n v="4"/>
    <s v="Raynaud de Fay"/>
    <m/>
    <x v="0"/>
    <m/>
    <m/>
    <m/>
    <m/>
    <m/>
    <m/>
    <m/>
    <x v="0"/>
    <x v="0"/>
    <x v="0"/>
    <x v="0"/>
    <x v="0"/>
    <x v="0"/>
    <x v="0"/>
    <x v="1"/>
    <x v="0"/>
    <x v="0"/>
    <x v="0"/>
    <s v="Non"/>
    <x v="0"/>
    <x v="0"/>
    <x v="0"/>
    <x v="0"/>
    <x v="0"/>
    <x v="0"/>
    <x v="0"/>
    <x v="0"/>
    <x v="0"/>
    <x v="0"/>
    <x v="0"/>
    <x v="0"/>
    <x v="0"/>
    <x v="0"/>
    <x v="2"/>
    <x v="0"/>
    <x v="0"/>
    <x v="0"/>
    <x v="0"/>
    <x v="0"/>
    <x v="0"/>
    <x v="0"/>
    <x v="0"/>
    <x v="0"/>
    <x v="0"/>
    <x v="0"/>
    <x v="0"/>
    <x v="0"/>
    <x v="0"/>
    <x v="0"/>
    <s v="Non debet facere literam de presente nooa"/>
    <m/>
    <m/>
    <s v="Sœur"/>
    <s v="Fay"/>
    <n v="1"/>
    <n v="0"/>
    <n v="0"/>
    <n v="0"/>
    <n v="0"/>
    <n v="1"/>
    <n v="0"/>
    <n v="0"/>
    <n v="0"/>
    <n v="0"/>
    <n v="0"/>
    <n v="0"/>
    <n v="0"/>
    <n v="12"/>
    <n v="0"/>
    <n v="0"/>
    <n v="0"/>
    <n v="0"/>
    <n v="0"/>
    <n v="0"/>
    <n v="0"/>
    <n v="0"/>
    <n v="0"/>
    <n v="0"/>
    <s v="Masacgio"/>
    <n v="0.41666666666666669"/>
    <n v="0"/>
    <n v="0"/>
    <n v="0"/>
    <n v="0"/>
    <m/>
    <m/>
    <m/>
    <m/>
    <m/>
    <m/>
    <m/>
    <m/>
    <m/>
    <m/>
    <m/>
    <m/>
  </r>
  <r>
    <n v="1312"/>
    <m/>
    <s v="Petrus"/>
    <s v="Natalis"/>
    <x v="11"/>
    <m/>
    <s v="Filius Guillermi Natalis de Chapons condam"/>
    <m/>
    <s v="H"/>
    <n v="1343"/>
    <s v="Décembre"/>
    <n v="11"/>
    <s v="Raynaud de Fay"/>
    <s v="Promisit esse bonus et fidelis tenementarius domum Devesseti"/>
    <x v="0"/>
    <m/>
    <m/>
    <m/>
    <m/>
    <m/>
    <m/>
    <m/>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m/>
    <n v="0.16666666666666666"/>
    <n v="0"/>
    <n v="0"/>
    <n v="0"/>
    <n v="0"/>
    <m/>
    <s v="Toussaint"/>
    <m/>
    <m/>
    <s v="Apud Lo Chaslar, in domo Juliarii Sartoris"/>
    <s v="Girandus Girandi de Pulinaco"/>
    <s v="Guillermo Grosseti Servienti Devesseti"/>
    <s v="Poncio d'Avenas"/>
    <m/>
    <m/>
    <m/>
    <m/>
  </r>
  <r>
    <n v="1313"/>
    <m/>
    <s v="Margarona"/>
    <s v="Vintentii"/>
    <x v="11"/>
    <m/>
    <s v="Filia Guillermi Vitentii de Chapius condam"/>
    <s v="Nomine Ponchonis filii Johannis Vitentii de Chapons"/>
    <s v="F"/>
    <n v="1343"/>
    <s v="Décembre"/>
    <n v="11"/>
    <s v="Raynaud de Fay"/>
    <s v="Promisit esse fidelis domui Devesseti"/>
    <x v="0"/>
    <m/>
    <m/>
    <m/>
    <m/>
    <m/>
    <m/>
    <m/>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m/>
    <n v="8.3333333333333329E-2"/>
    <n v="0"/>
    <n v="0"/>
    <n v="0"/>
    <n v="0"/>
    <m/>
    <s v="Toussaint"/>
    <m/>
    <m/>
    <s v="Apud Lo Chaslar, in domo Juliarii Sartoris"/>
    <s v="Girandus Girandi de Pulinaco"/>
    <s v="Guillermo Grosseti Servienti Devesseti"/>
    <s v="Poncio d'Avenas"/>
    <m/>
    <m/>
    <m/>
    <m/>
  </r>
  <r>
    <n v="1314"/>
    <m/>
    <s v="Poncius et Hugo"/>
    <s v="Terrassa"/>
    <x v="12"/>
    <m/>
    <s v="Hugo filius Poncius"/>
    <m/>
    <s v="G"/>
    <n v="1343"/>
    <s v="Décembre"/>
    <n v="11"/>
    <s v="Raynaud de Fay"/>
    <s v="Promisit esse fidelis tenementarius domus Devesseti"/>
    <x v="0"/>
    <m/>
    <m/>
    <m/>
    <m/>
    <m/>
    <m/>
    <s v="Constractus emphiteotarii"/>
    <x v="0"/>
    <x v="0"/>
    <x v="0"/>
    <x v="0"/>
    <x v="0"/>
    <x v="0"/>
    <x v="0"/>
    <x v="0"/>
    <x v="0"/>
    <x v="0"/>
    <x v="0"/>
    <s v="Non"/>
    <x v="0"/>
    <x v="0"/>
    <x v="0"/>
    <x v="0"/>
    <x v="0"/>
    <x v="0"/>
    <x v="0"/>
    <x v="0"/>
    <x v="0"/>
    <x v="0"/>
    <x v="0"/>
    <x v="0"/>
    <x v="0"/>
    <x v="0"/>
    <x v="0"/>
    <x v="0"/>
    <x v="0"/>
    <x v="0"/>
    <x v="0"/>
    <x v="0"/>
    <x v="0"/>
    <x v="0"/>
    <x v="0"/>
    <x v="0"/>
    <x v="0"/>
    <x v="0"/>
    <x v="0"/>
    <x v="0"/>
    <x v="0"/>
    <x v="0"/>
    <m/>
    <s v="Terre petiam"/>
    <m/>
    <m/>
    <m/>
    <n v="0"/>
    <n v="0"/>
    <n v="0"/>
    <n v="0"/>
    <n v="0"/>
    <n v="0"/>
    <n v="0"/>
    <n v="0"/>
    <n v="0"/>
    <n v="0"/>
    <n v="0"/>
    <n v="0"/>
    <n v="0"/>
    <n v="0"/>
    <n v="0"/>
    <n v="0"/>
    <n v="0"/>
    <n v="0"/>
    <n v="0"/>
    <n v="0"/>
    <n v="0"/>
    <n v="0"/>
    <n v="0"/>
    <n v="0"/>
    <m/>
    <n v="0"/>
    <n v="1"/>
    <n v="0"/>
    <n v="0"/>
    <n v="0"/>
    <m/>
    <s v="Toussaint"/>
    <m/>
    <m/>
    <s v="Apud Lo Chaslar, in domo Pincii Terrassa"/>
    <s v="Girandus Girandi de Pulinaco"/>
    <s v="Guillermo Grosseti Servienti Devesseti"/>
    <s v="Poncio d'Avenas"/>
    <m/>
    <m/>
    <m/>
    <m/>
  </r>
  <r>
    <n v="1182"/>
    <m/>
    <s v="Johannes"/>
    <s v="Boscheti"/>
    <x v="13"/>
    <m/>
    <m/>
    <s v="Nomine Girandi Boscheti eius fratris"/>
    <s v="H"/>
    <n v="1343"/>
    <s v="Février"/>
    <n v="4"/>
    <s v="Raynaud de Fay"/>
    <m/>
    <x v="0"/>
    <m/>
    <m/>
    <m/>
    <m/>
    <m/>
    <m/>
    <s v="Constractus emphiteotarii"/>
    <x v="0"/>
    <x v="0"/>
    <x v="1"/>
    <x v="0"/>
    <x v="0"/>
    <x v="0"/>
    <x v="0"/>
    <x v="1"/>
    <x v="0"/>
    <x v="0"/>
    <x v="0"/>
    <s v="Non"/>
    <x v="0"/>
    <x v="0"/>
    <x v="0"/>
    <x v="0"/>
    <x v="0"/>
    <x v="0"/>
    <x v="0"/>
    <x v="0"/>
    <x v="0"/>
    <x v="0"/>
    <x v="0"/>
    <x v="0"/>
    <x v="0"/>
    <x v="0"/>
    <x v="0"/>
    <x v="0"/>
    <x v="0"/>
    <x v="0"/>
    <x v="0"/>
    <x v="0"/>
    <x v="0"/>
    <x v="0"/>
    <x v="0"/>
    <x v="0"/>
    <x v="0"/>
    <x v="0"/>
    <x v="0"/>
    <x v="0"/>
    <x v="0"/>
    <x v="0"/>
    <m/>
    <s v="Pratum"/>
    <m/>
    <s v="Frère"/>
    <m/>
    <n v="0"/>
    <n v="0"/>
    <n v="0"/>
    <n v="0"/>
    <n v="0"/>
    <n v="0"/>
    <n v="0"/>
    <n v="0"/>
    <n v="0"/>
    <n v="0"/>
    <n v="0"/>
    <n v="0"/>
    <n v="0"/>
    <n v="0"/>
    <n v="0"/>
    <n v="0"/>
    <n v="0"/>
    <n v="0"/>
    <n v="0"/>
    <n v="0"/>
    <n v="0"/>
    <n v="0"/>
    <n v="0"/>
    <n v="0"/>
    <s v="Pratum"/>
    <n v="0.75"/>
    <n v="0"/>
    <n v="0"/>
    <n v="0"/>
    <n v="0"/>
    <m/>
    <s v="Toussaint"/>
    <s v="De juridictione"/>
    <s v="Castri Devesseti"/>
    <s v="Devesset, in turre supra portam"/>
    <s v="Girandus Girandi de Pulinaco"/>
    <s v="G. Gastonis domicellis"/>
    <s v="Andree de Galibertis"/>
    <m/>
    <m/>
    <m/>
    <s v="In compositione inter domus Devesseti et Guillermi de Pictano"/>
  </r>
  <r>
    <n v="1443"/>
    <m/>
    <s v="Beatrix et Marieta"/>
    <s v="De Comba Sancta Gitatis"/>
    <x v="14"/>
    <m/>
    <s v="Sororis"/>
    <m/>
    <s v="G"/>
    <n v="1345"/>
    <s v="Octobre"/>
    <n v="23"/>
    <s v="Raynaud de Fay"/>
    <m/>
    <x v="0"/>
    <m/>
    <m/>
    <m/>
    <m/>
    <m/>
    <m/>
    <m/>
    <x v="0"/>
    <x v="0"/>
    <x v="0"/>
    <x v="0"/>
    <x v="0"/>
    <x v="0"/>
    <x v="0"/>
    <x v="1"/>
    <x v="0"/>
    <x v="0"/>
    <x v="0"/>
    <s v="Non"/>
    <x v="0"/>
    <x v="0"/>
    <x v="0"/>
    <x v="0"/>
    <x v="0"/>
    <x v="0"/>
    <x v="0"/>
    <x v="0"/>
    <x v="0"/>
    <x v="0"/>
    <x v="0"/>
    <x v="0"/>
    <x v="3"/>
    <x v="0"/>
    <x v="0"/>
    <x v="0"/>
    <x v="0"/>
    <x v="0"/>
    <x v="0"/>
    <x v="0"/>
    <x v="0"/>
    <x v="0"/>
    <x v="0"/>
    <x v="0"/>
    <x v="0"/>
    <x v="0"/>
    <x v="0"/>
    <x v="0"/>
    <x v="0"/>
    <x v="0"/>
    <m/>
    <s v="Tenementum"/>
    <m/>
    <m/>
    <m/>
    <n v="0"/>
    <n v="0"/>
    <n v="0"/>
    <n v="0"/>
    <n v="0"/>
    <n v="0"/>
    <n v="0"/>
    <n v="0"/>
    <n v="0"/>
    <n v="0"/>
    <n v="0"/>
    <n v="0"/>
    <n v="0"/>
    <n v="0"/>
    <n v="0"/>
    <n v="0"/>
    <n v="0"/>
    <n v="0"/>
    <n v="0"/>
    <n v="0"/>
    <n v="0"/>
    <n v="0"/>
    <n v="0"/>
    <n v="0"/>
    <s v="Tenementum"/>
    <n v="1.0833333333333333"/>
    <n v="0"/>
    <n v="0"/>
    <n v="0"/>
    <n v="0"/>
    <m/>
    <s v="Toussaint"/>
    <m/>
    <m/>
    <s v="Devesset, ante portam castri"/>
    <s v="Jacobus Boscheti"/>
    <s v="Jacobo Fayni de Sabinariais"/>
    <s v="Bernardo de Sanna"/>
    <s v="Monidie de Flossac"/>
    <m/>
    <m/>
    <m/>
  </r>
  <r>
    <n v="1142"/>
    <m/>
    <s v="Stephanus"/>
    <s v="Austorgonis"/>
    <x v="15"/>
    <m/>
    <m/>
    <m/>
    <s v="H"/>
    <n v="1343"/>
    <s v="Décembre"/>
    <n v="1"/>
    <s v="Raynaud de Fay"/>
    <s v="Promisit esse fidelis et in' domus Devesseti"/>
    <x v="0"/>
    <m/>
    <m/>
    <m/>
    <m/>
    <m/>
    <m/>
    <s v="Constractus emphiteotarii"/>
    <x v="0"/>
    <x v="0"/>
    <x v="1"/>
    <x v="0"/>
    <x v="0"/>
    <x v="0"/>
    <x v="0"/>
    <x v="4"/>
    <x v="0"/>
    <x v="0"/>
    <x v="0"/>
    <s v="Non"/>
    <x v="0"/>
    <x v="0"/>
    <x v="0"/>
    <x v="0"/>
    <x v="0"/>
    <x v="0"/>
    <x v="0"/>
    <x v="0"/>
    <x v="0"/>
    <x v="0"/>
    <x v="0"/>
    <x v="0"/>
    <x v="0"/>
    <x v="0"/>
    <x v="0"/>
    <x v="0"/>
    <x v="0"/>
    <x v="0"/>
    <x v="0"/>
    <x v="0"/>
    <x v="0"/>
    <x v="0"/>
    <x v="0"/>
    <x v="0"/>
    <x v="0"/>
    <x v="0"/>
    <x v="0"/>
    <x v="0"/>
    <x v="0"/>
    <x v="0"/>
    <m/>
    <s v="Petia terre trium meytenchadarum"/>
    <m/>
    <m/>
    <s v="Fay"/>
    <n v="0"/>
    <n v="0"/>
    <n v="0"/>
    <n v="0"/>
    <n v="0"/>
    <n v="0"/>
    <n v="0.5"/>
    <n v="0"/>
    <n v="0"/>
    <n v="0"/>
    <n v="0"/>
    <n v="0"/>
    <n v="0"/>
    <n v="0"/>
    <n v="0"/>
    <n v="0"/>
    <n v="0"/>
    <n v="0"/>
    <n v="0"/>
    <n v="0"/>
    <n v="0"/>
    <n v="0"/>
    <n v="0"/>
    <n v="0"/>
    <m/>
    <n v="0.5"/>
    <n v="0"/>
    <n v="0"/>
    <n v="0"/>
    <n v="0"/>
    <m/>
    <s v="Toussaint"/>
    <m/>
    <m/>
    <s v="Saint-Agrève, in gramero Devesseti"/>
    <s v="Girandus Girandi de Pulinaco"/>
    <s v="Fratre Johanne Meruli"/>
    <s v="Guillermo la Fanria"/>
    <s v="Gregorie de Penite de Sancto Agrippavio"/>
    <m/>
    <m/>
    <m/>
  </r>
  <r>
    <n v="1301"/>
    <s v="Page dure à lire"/>
    <s v="Matheus et Peyronus"/>
    <s v="Palaya"/>
    <x v="16"/>
    <m/>
    <m/>
    <m/>
    <s v="G"/>
    <n v="1343"/>
    <s v="Décembre"/>
    <n v="10"/>
    <s v="Raynaud de Fay"/>
    <s v="Promisit esse fidelis tenementarius domus Devesseti"/>
    <x v="0"/>
    <m/>
    <m/>
    <m/>
    <m/>
    <m/>
    <m/>
    <s v="Constractus emphiteotarii"/>
    <x v="3"/>
    <x v="4"/>
    <x v="0"/>
    <x v="0"/>
    <x v="0"/>
    <x v="0"/>
    <x v="0"/>
    <x v="1"/>
    <x v="0"/>
    <x v="0"/>
    <x v="0"/>
    <s v="Non"/>
    <x v="0"/>
    <x v="0"/>
    <x v="0"/>
    <x v="0"/>
    <x v="0"/>
    <x v="0"/>
    <x v="0"/>
    <x v="0"/>
    <x v="0"/>
    <x v="0"/>
    <x v="0"/>
    <x v="0"/>
    <x v="0"/>
    <x v="0"/>
    <x v="0"/>
    <x v="0"/>
    <x v="0"/>
    <x v="0"/>
    <x v="0"/>
    <x v="0"/>
    <x v="0"/>
    <x v="0"/>
    <x v="0"/>
    <x v="0"/>
    <x v="0"/>
    <x v="0"/>
    <x v="0"/>
    <x v="0"/>
    <x v="0"/>
    <x v="0"/>
    <m/>
    <s v="Ortum + domum"/>
    <m/>
    <m/>
    <m/>
    <n v="0"/>
    <n v="0"/>
    <n v="0"/>
    <n v="0"/>
    <n v="0"/>
    <n v="0"/>
    <n v="0"/>
    <n v="0"/>
    <n v="0"/>
    <n v="0"/>
    <n v="0"/>
    <n v="0"/>
    <n v="0"/>
    <n v="0"/>
    <n v="0"/>
    <n v="0"/>
    <n v="0"/>
    <n v="0"/>
    <n v="0"/>
    <n v="0"/>
    <n v="0"/>
    <n v="0"/>
    <n v="0"/>
    <n v="0"/>
    <m/>
    <n v="0"/>
    <n v="3"/>
    <n v="0"/>
    <n v="0"/>
    <n v="0"/>
    <m/>
    <s v="Toussaint"/>
    <m/>
    <m/>
    <s v="Apud Avenas, in domo dicti Poncii"/>
    <s v="Girandus Girandi de Pulinaco"/>
    <s v="Fratre Johane Meruli"/>
    <s v="Guillermo Grosseti Servienti Devesseti"/>
    <s v="Poncio d'Avenas"/>
    <m/>
    <m/>
    <m/>
  </r>
  <r>
    <n v="1302"/>
    <m/>
    <s v="Petrus"/>
    <s v="Del Chastanhier"/>
    <x v="16"/>
    <m/>
    <s v="Filius Panche del Chastanhier"/>
    <m/>
    <s v="H"/>
    <n v="1343"/>
    <s v="Décembre"/>
    <n v="10"/>
    <s v="Raynaud de Fay"/>
    <s v="Promisit esse fidelis tenementarius domus Devesseti"/>
    <x v="0"/>
    <m/>
    <m/>
    <m/>
    <m/>
    <m/>
    <m/>
    <s v="Constractus emphiteotarii"/>
    <x v="3"/>
    <x v="4"/>
    <x v="0"/>
    <x v="0"/>
    <x v="0"/>
    <x v="0"/>
    <x v="0"/>
    <x v="1"/>
    <x v="0"/>
    <x v="0"/>
    <x v="0"/>
    <s v="Non"/>
    <x v="0"/>
    <x v="0"/>
    <x v="0"/>
    <x v="0"/>
    <x v="0"/>
    <x v="0"/>
    <x v="0"/>
    <x v="0"/>
    <x v="0"/>
    <x v="0"/>
    <x v="0"/>
    <x v="0"/>
    <x v="0"/>
    <x v="0"/>
    <x v="0"/>
    <x v="0"/>
    <x v="0"/>
    <x v="0"/>
    <x v="0"/>
    <x v="0"/>
    <x v="0"/>
    <x v="0"/>
    <x v="0"/>
    <x v="0"/>
    <x v="0"/>
    <x v="0"/>
    <x v="0"/>
    <x v="0"/>
    <x v="0"/>
    <x v="0"/>
    <m/>
    <s v="Ortum + domum"/>
    <m/>
    <m/>
    <m/>
    <n v="0"/>
    <n v="0"/>
    <n v="0"/>
    <n v="0"/>
    <n v="0"/>
    <n v="0"/>
    <n v="0"/>
    <n v="0"/>
    <n v="0"/>
    <n v="0"/>
    <n v="0"/>
    <n v="0"/>
    <n v="0"/>
    <n v="0"/>
    <n v="0"/>
    <n v="0"/>
    <n v="0"/>
    <n v="0"/>
    <n v="0"/>
    <n v="0"/>
    <n v="0"/>
    <n v="0"/>
    <n v="0"/>
    <n v="0"/>
    <m/>
    <n v="8.3333333333333329E-2"/>
    <n v="0"/>
    <n v="0"/>
    <n v="0"/>
    <n v="0"/>
    <m/>
    <s v="Toussaint"/>
    <m/>
    <m/>
    <s v="Apud Avenas, in domo dicti Poncii"/>
    <s v="Girandus Girandi de Pulinaco"/>
    <s v="Fratre Johane Meruli"/>
    <s v="Guillermo Grosseti Servienti Devesseti"/>
    <s v="Poncio d'Avenas"/>
    <m/>
    <m/>
    <m/>
  </r>
  <r>
    <n v="1311"/>
    <m/>
    <s v="Vitalis"/>
    <s v="Del Chastanheir de Jannac"/>
    <x v="16"/>
    <m/>
    <s v="Filius Petri Chastaneir de Jannac"/>
    <m/>
    <s v="H"/>
    <n v="1343"/>
    <s v="Décembre"/>
    <n v="10"/>
    <s v="Raynaud de Fay"/>
    <m/>
    <x v="0"/>
    <m/>
    <m/>
    <m/>
    <m/>
    <m/>
    <m/>
    <s v="Constractus emphiteotarii"/>
    <x v="3"/>
    <x v="4"/>
    <x v="0"/>
    <x v="0"/>
    <x v="0"/>
    <x v="0"/>
    <x v="0"/>
    <x v="1"/>
    <x v="0"/>
    <x v="0"/>
    <x v="0"/>
    <s v="Non"/>
    <x v="0"/>
    <x v="0"/>
    <x v="0"/>
    <x v="0"/>
    <x v="0"/>
    <x v="0"/>
    <x v="0"/>
    <x v="0"/>
    <x v="0"/>
    <x v="0"/>
    <x v="0"/>
    <x v="0"/>
    <x v="0"/>
    <x v="0"/>
    <x v="0"/>
    <x v="0"/>
    <x v="0"/>
    <x v="0"/>
    <x v="0"/>
    <x v="0"/>
    <x v="0"/>
    <x v="0"/>
    <x v="0"/>
    <x v="0"/>
    <x v="0"/>
    <x v="0"/>
    <x v="0"/>
    <x v="0"/>
    <x v="0"/>
    <x v="0"/>
    <m/>
    <s v="Ortum + domum"/>
    <m/>
    <m/>
    <m/>
    <n v="0"/>
    <n v="0"/>
    <n v="0"/>
    <n v="0"/>
    <n v="0"/>
    <n v="0"/>
    <n v="0"/>
    <n v="0"/>
    <n v="0"/>
    <n v="0"/>
    <n v="0"/>
    <n v="0"/>
    <n v="0"/>
    <n v="0"/>
    <n v="0"/>
    <n v="0"/>
    <n v="0"/>
    <n v="0"/>
    <n v="0"/>
    <n v="0"/>
    <n v="0"/>
    <n v="0"/>
    <n v="0"/>
    <n v="0"/>
    <m/>
    <n v="0.25"/>
    <n v="0"/>
    <n v="0"/>
    <n v="0"/>
    <n v="0"/>
    <m/>
    <s v="Toussaint"/>
    <m/>
    <m/>
    <s v="Apud Avenas, in domo dicti Poncii"/>
    <s v="Girandus Girandi de Pulinaco"/>
    <s v="Fratre Johane Meruli Hospitalis"/>
    <s v="Johanno Lo Cordineir de Chaslario"/>
    <s v="Guillermo Grosseti Servienti Devesseti"/>
    <m/>
    <m/>
    <m/>
  </r>
  <r>
    <n v="1511"/>
    <s v="Page dure à lire"/>
    <s v="Johannes + ?"/>
    <s v="Barerii Dens Chazalet + De Chanils"/>
    <x v="17"/>
    <m/>
    <m/>
    <s v="Johannes de Chanils pro et nomine Johenette de Las Penas et etiam liberorum Bernardi de Las Penas condam"/>
    <s v="G"/>
    <n v="1342"/>
    <s v="Février"/>
    <s v="?"/>
    <s v="Raynaud de Fay"/>
    <s v="Promisist esse fidelis domus Devesseti"/>
    <x v="0"/>
    <m/>
    <m/>
    <m/>
    <m/>
    <m/>
    <m/>
    <s v="Constractus emphiteotarii"/>
    <x v="0"/>
    <x v="0"/>
    <x v="0"/>
    <x v="0"/>
    <x v="0"/>
    <x v="0"/>
    <x v="0"/>
    <x v="1"/>
    <x v="0"/>
    <x v="0"/>
    <x v="0"/>
    <s v="Non"/>
    <x v="0"/>
    <x v="0"/>
    <x v="0"/>
    <x v="0"/>
    <x v="0"/>
    <x v="0"/>
    <x v="0"/>
    <x v="0"/>
    <x v="0"/>
    <x v="0"/>
    <x v="0"/>
    <x v="0"/>
    <x v="3"/>
    <x v="0"/>
    <x v="0"/>
    <x v="0"/>
    <x v="0"/>
    <x v="0"/>
    <x v="0"/>
    <x v="0"/>
    <x v="0"/>
    <x v="0"/>
    <x v="0"/>
    <x v="0"/>
    <x v="0"/>
    <x v="0"/>
    <x v="0"/>
    <x v="0"/>
    <x v="0"/>
    <x v="0"/>
    <m/>
    <s v="Tenementum"/>
    <m/>
    <s v="Divers"/>
    <s v="Fay"/>
    <n v="0"/>
    <n v="0"/>
    <n v="0"/>
    <n v="0"/>
    <n v="2"/>
    <n v="0"/>
    <n v="0"/>
    <n v="0"/>
    <n v="0"/>
    <n v="0"/>
    <n v="0"/>
    <n v="0"/>
    <n v="0"/>
    <n v="0"/>
    <n v="0"/>
    <n v="1"/>
    <n v="0"/>
    <n v="0"/>
    <n v="0"/>
    <n v="0"/>
    <n v="0"/>
    <n v="0"/>
    <n v="0"/>
    <n v="0"/>
    <s v="Tenementum"/>
    <n v="0"/>
    <n v="0"/>
    <n v="0"/>
    <n v="0"/>
    <n v="0"/>
    <m/>
    <s v="Toussaint"/>
    <m/>
    <s v="De juridictione domus Devesseti"/>
    <s v="Devesset, in quoquina"/>
    <s v="Girandus Girandi de Pulinaco"/>
    <s v="Johanne Meruli"/>
    <s v="Johanne de Firnis"/>
    <s v="Nicholao de Firnis"/>
    <m/>
    <m/>
    <s v="Compositione olim facta inter domum Devesseti ex una parte et dominorum Devesseti ex altera"/>
  </r>
  <r>
    <n v="581"/>
    <s v="Et 591"/>
    <s v="Gregorius"/>
    <s v="Albi"/>
    <x v="18"/>
    <m/>
    <s v="Filius emansipatus Durandi Albi Del Mastortet"/>
    <m/>
    <s v="H"/>
    <n v="1343"/>
    <s v="Avril"/>
    <n v="29"/>
    <s v="Raynaud de Fay"/>
    <s v="Homo-licgius, justitabilis et expletabilis"/>
    <x v="1"/>
    <s v="Oui"/>
    <s v="Oui"/>
    <s v="Oui"/>
    <s v="Oui"/>
    <s v="Non"/>
    <s v="Avec bœufs et animaux"/>
    <s v="Contractus emphiteotitarii"/>
    <x v="2"/>
    <x v="2"/>
    <x v="2"/>
    <x v="0"/>
    <x v="1"/>
    <x v="0"/>
    <x v="1"/>
    <x v="4"/>
    <x v="0"/>
    <x v="0"/>
    <x v="3"/>
    <s v="Non"/>
    <x v="1"/>
    <x v="0"/>
    <x v="0"/>
    <x v="0"/>
    <x v="0"/>
    <x v="2"/>
    <x v="2"/>
    <x v="4"/>
    <x v="0"/>
    <x v="0"/>
    <x v="0"/>
    <x v="0"/>
    <x v="0"/>
    <x v="0"/>
    <x v="0"/>
    <x v="0"/>
    <x v="0"/>
    <x v="0"/>
    <x v="0"/>
    <x v="0"/>
    <x v="0"/>
    <x v="0"/>
    <x v="0"/>
    <x v="0"/>
    <x v="0"/>
    <x v="0"/>
    <x v="0"/>
    <x v="0"/>
    <x v="0"/>
    <x v="1"/>
    <m/>
    <s v="31 éléments"/>
    <s v="Loco et territorio de Mastortet"/>
    <m/>
    <s v="Tence"/>
    <n v="2"/>
    <n v="0"/>
    <n v="0"/>
    <n v="0"/>
    <n v="0"/>
    <n v="0"/>
    <n v="17"/>
    <n v="-1"/>
    <n v="0"/>
    <n v="0"/>
    <n v="0"/>
    <n v="0"/>
    <n v="0"/>
    <n v="0"/>
    <n v="0"/>
    <n v="0"/>
    <n v="0"/>
    <n v="0"/>
    <n v="0"/>
    <n v="0"/>
    <n v="0"/>
    <n v="0"/>
    <n v="0"/>
    <n v="0"/>
    <m/>
    <n v="22.5"/>
    <n v="0"/>
    <n v="0"/>
    <n v="0"/>
    <n v="0"/>
    <m/>
    <s v="Toussaint"/>
    <m/>
    <m/>
    <s v="Devesset, in turre supra portam"/>
    <s v="Girandus Girandi de Pulinaco"/>
    <s v="Dopnino de Las Ruschas"/>
    <s v="Petro de Las Ruschas"/>
    <s v="Michaele et Valentino de Las Ruschas"/>
    <m/>
    <m/>
    <m/>
  </r>
  <r>
    <n v="451"/>
    <m/>
    <s v="Vitalis"/>
    <s v="De Mundo"/>
    <x v="19"/>
    <s v="Parrochie de Tensano"/>
    <m/>
    <m/>
    <s v="H"/>
    <n v="1343"/>
    <s v="Avril"/>
    <n v="9"/>
    <s v="Raynaud de Fay"/>
    <s v="Homo-licgius, justitabilis et expletabilis"/>
    <x v="1"/>
    <s v="Non"/>
    <s v="Oui"/>
    <s v="Oui"/>
    <s v="Oui"/>
    <s v="Non"/>
    <s v="Avec bœufs et animaux"/>
    <s v="Contractus emphiteotitarii"/>
    <x v="3"/>
    <x v="2"/>
    <x v="2"/>
    <x v="1"/>
    <x v="1"/>
    <x v="1"/>
    <x v="1"/>
    <x v="1"/>
    <x v="1"/>
    <x v="0"/>
    <x v="1"/>
    <s v="Non"/>
    <x v="0"/>
    <x v="0"/>
    <x v="0"/>
    <x v="0"/>
    <x v="0"/>
    <x v="0"/>
    <x v="0"/>
    <x v="0"/>
    <x v="0"/>
    <x v="0"/>
    <x v="0"/>
    <x v="0"/>
    <x v="0"/>
    <x v="0"/>
    <x v="0"/>
    <x v="0"/>
    <x v="0"/>
    <x v="0"/>
    <x v="0"/>
    <x v="0"/>
    <x v="0"/>
    <x v="0"/>
    <x v="0"/>
    <x v="0"/>
    <x v="0"/>
    <x v="0"/>
    <x v="0"/>
    <x v="0"/>
    <x v="0"/>
    <x v="1"/>
    <m/>
    <m/>
    <s v="Loco et territorio del Mont"/>
    <m/>
    <s v="Borzeza"/>
    <n v="1"/>
    <n v="0"/>
    <n v="0"/>
    <n v="0"/>
    <n v="0"/>
    <n v="0"/>
    <n v="10"/>
    <n v="0"/>
    <n v="0"/>
    <n v="0"/>
    <n v="0"/>
    <n v="0"/>
    <n v="0"/>
    <n v="1"/>
    <n v="0"/>
    <n v="0"/>
    <n v="0"/>
    <n v="0"/>
    <n v="0"/>
    <n v="0"/>
    <n v="0"/>
    <n v="0"/>
    <n v="0"/>
    <n v="0"/>
    <s v="Grangiam"/>
    <n v="8.3333333333333339"/>
    <n v="0"/>
    <n v="0"/>
    <n v="0"/>
    <n v="0"/>
    <s v="Censu et talha"/>
    <s v="Toussaint"/>
    <s v="Merum et mixtum imperium "/>
    <s v="Castri Devesseti"/>
    <s v="Devesset, in turre supra portam"/>
    <s v="Girandus Girandi de Pulinaco"/>
    <s v="Johane de Mundo Iuscalono"/>
    <s v="Michalo Artaude"/>
    <s v="Matheo Macuda"/>
    <m/>
    <m/>
    <s v="In quadam compositione olim facta inter dominum aniciensis episcopum et domum Devesseti"/>
  </r>
  <r>
    <n v="461"/>
    <m/>
    <s v="Johanes"/>
    <s v="De Mundo"/>
    <x v="19"/>
    <s v="Parrochie de Tensano"/>
    <m/>
    <m/>
    <s v="H"/>
    <n v="1343"/>
    <s v="Avril"/>
    <n v="9"/>
    <s v="Raynaud de Fay"/>
    <s v="Homo-licgius justitabilis"/>
    <x v="1"/>
    <s v="Non"/>
    <s v="Oui"/>
    <s v="Oui"/>
    <s v="Oui"/>
    <s v="Non"/>
    <s v="Avec bœufs et animaux"/>
    <s v="Contractus emphiteotitarii"/>
    <x v="3"/>
    <x v="4"/>
    <x v="2"/>
    <x v="1"/>
    <x v="3"/>
    <x v="1"/>
    <x v="1"/>
    <x v="3"/>
    <x v="1"/>
    <x v="1"/>
    <x v="1"/>
    <s v="Non"/>
    <x v="0"/>
    <x v="0"/>
    <x v="0"/>
    <x v="0"/>
    <x v="0"/>
    <x v="0"/>
    <x v="0"/>
    <x v="0"/>
    <x v="0"/>
    <x v="0"/>
    <x v="0"/>
    <x v="0"/>
    <x v="0"/>
    <x v="0"/>
    <x v="0"/>
    <x v="0"/>
    <x v="0"/>
    <x v="0"/>
    <x v="0"/>
    <x v="0"/>
    <x v="0"/>
    <x v="0"/>
    <x v="0"/>
    <x v="0"/>
    <x v="0"/>
    <x v="0"/>
    <x v="0"/>
    <x v="0"/>
    <x v="0"/>
    <x v="1"/>
    <m/>
    <m/>
    <s v="Loco et territorio del Mont"/>
    <m/>
    <s v="Borzeza"/>
    <n v="1"/>
    <n v="0"/>
    <n v="0"/>
    <n v="0"/>
    <n v="0"/>
    <n v="1"/>
    <n v="0"/>
    <n v="0"/>
    <n v="0"/>
    <n v="0"/>
    <n v="0"/>
    <n v="0"/>
    <n v="0"/>
    <n v="1.3333333333333333"/>
    <n v="0"/>
    <n v="0"/>
    <n v="0"/>
    <n v="0"/>
    <n v="0"/>
    <n v="0"/>
    <n v="0"/>
    <n v="0"/>
    <n v="0"/>
    <n v="0"/>
    <m/>
    <n v="3.3333333333333335"/>
    <n v="0"/>
    <n v="0"/>
    <n v="0"/>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471"/>
    <m/>
    <s v="Blancheta"/>
    <s v="Del Mont"/>
    <x v="19"/>
    <m/>
    <m/>
    <s v="Pro Anthonie Marse eius filiabus"/>
    <s v="F"/>
    <n v="1343"/>
    <s v="Avril"/>
    <n v="9"/>
    <s v="Raynaud de Fay"/>
    <s v="Mulier-licgia, justitabilis et expletabilis"/>
    <x v="1"/>
    <s v="Non"/>
    <s v="Oui"/>
    <s v="Oui"/>
    <s v="Oui"/>
    <s v="Non"/>
    <s v="Avec bœufs et animaux"/>
    <s v="Contractus emphiteotitarii"/>
    <x v="3"/>
    <x v="2"/>
    <x v="2"/>
    <x v="1"/>
    <x v="1"/>
    <x v="0"/>
    <x v="1"/>
    <x v="1"/>
    <x v="1"/>
    <x v="0"/>
    <x v="0"/>
    <s v="Non"/>
    <x v="0"/>
    <x v="0"/>
    <x v="0"/>
    <x v="0"/>
    <x v="0"/>
    <x v="0"/>
    <x v="0"/>
    <x v="0"/>
    <x v="0"/>
    <x v="0"/>
    <x v="0"/>
    <x v="0"/>
    <x v="0"/>
    <x v="0"/>
    <x v="0"/>
    <x v="0"/>
    <x v="0"/>
    <x v="0"/>
    <x v="0"/>
    <x v="0"/>
    <x v="0"/>
    <x v="0"/>
    <x v="0"/>
    <x v="0"/>
    <x v="0"/>
    <x v="0"/>
    <x v="0"/>
    <x v="0"/>
    <x v="0"/>
    <x v="1"/>
    <m/>
    <s v="Domam et grangiam"/>
    <s v="Loco de territoio de Mundo"/>
    <s v="Fille"/>
    <s v="Borzeza"/>
    <n v="0"/>
    <n v="0"/>
    <n v="0"/>
    <n v="0"/>
    <n v="0"/>
    <n v="1"/>
    <n v="0"/>
    <n v="0"/>
    <n v="0"/>
    <n v="0"/>
    <n v="0"/>
    <n v="0"/>
    <n v="0"/>
    <n v="0.33333333333333331"/>
    <n v="0"/>
    <n v="1"/>
    <n v="0"/>
    <n v="0"/>
    <n v="0"/>
    <n v="0"/>
    <n v="0"/>
    <n v="0"/>
    <n v="0"/>
    <n v="0"/>
    <m/>
    <n v="3.3333333333333335"/>
    <n v="0"/>
    <n v="0"/>
    <n v="0"/>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481"/>
    <m/>
    <s v="Michael"/>
    <s v="De Sollemniaco"/>
    <x v="19"/>
    <m/>
    <m/>
    <s v="nomine Andiene eius uxoris"/>
    <s v="H"/>
    <n v="1343"/>
    <s v="Avril"/>
    <n v="9"/>
    <s v="Raynaud de Fay"/>
    <m/>
    <x v="0"/>
    <s v="Non"/>
    <s v="Non"/>
    <s v="Non"/>
    <s v="Non"/>
    <s v="Non"/>
    <m/>
    <s v="Contractus emphiteotitarii"/>
    <x v="0"/>
    <x v="0"/>
    <x v="9"/>
    <x v="0"/>
    <x v="0"/>
    <x v="0"/>
    <x v="0"/>
    <x v="1"/>
    <x v="0"/>
    <x v="0"/>
    <x v="0"/>
    <s v="Non"/>
    <x v="0"/>
    <x v="0"/>
    <x v="0"/>
    <x v="0"/>
    <x v="0"/>
    <x v="0"/>
    <x v="0"/>
    <x v="0"/>
    <x v="0"/>
    <x v="0"/>
    <x v="0"/>
    <x v="0"/>
    <x v="0"/>
    <x v="0"/>
    <x v="0"/>
    <x v="0"/>
    <x v="0"/>
    <x v="0"/>
    <x v="0"/>
    <x v="0"/>
    <x v="0"/>
    <x v="0"/>
    <x v="0"/>
    <x v="0"/>
    <x v="0"/>
    <x v="0"/>
    <x v="0"/>
    <x v="0"/>
    <x v="0"/>
    <x v="0"/>
    <m/>
    <m/>
    <m/>
    <s v="Mari"/>
    <m/>
    <n v="0"/>
    <n v="0"/>
    <n v="0"/>
    <n v="0"/>
    <n v="0"/>
    <n v="0"/>
    <n v="0"/>
    <n v="0"/>
    <n v="0"/>
    <n v="0"/>
    <n v="0"/>
    <n v="0"/>
    <n v="0"/>
    <n v="0"/>
    <n v="0"/>
    <n v="0"/>
    <n v="0"/>
    <n v="0"/>
    <n v="0"/>
    <n v="0"/>
    <n v="0"/>
    <n v="0"/>
    <n v="0"/>
    <n v="0"/>
    <m/>
    <n v="0.66666666666666663"/>
    <n v="0"/>
    <n v="0"/>
    <n v="0"/>
    <n v="0"/>
    <m/>
    <s v="Toussaint"/>
    <m/>
    <s v="Castri Devesseti"/>
    <s v="Devesset, in turre supra portam"/>
    <s v="Girandus Girandi de Pulinaco"/>
    <s v="Arnaudo de Macello clerico"/>
    <s v="Michele de sollepniaco"/>
    <s v="Vitale de Mundo"/>
    <m/>
    <m/>
    <m/>
  </r>
  <r>
    <n v="482"/>
    <m/>
    <s v="Johaneta"/>
    <s v="De Paulhac"/>
    <x v="19"/>
    <m/>
    <s v="Uxor Johanis Valentis de Paulhac condam"/>
    <s v="Nomine Symunde et Martete eius filiarum"/>
    <s v="F"/>
    <n v="1343"/>
    <s v="Fevrier"/>
    <n v="4"/>
    <s v="Raynaud de Fay"/>
    <s v="Mulier-licgia, justitabilis et expletabilis"/>
    <x v="0"/>
    <s v="Non"/>
    <s v="Non"/>
    <s v="Non"/>
    <s v="Oui"/>
    <s v="Non"/>
    <s v="ut alii mensi dicti mansi"/>
    <s v="Contractus emphiteotitarii"/>
    <x v="2"/>
    <x v="2"/>
    <x v="2"/>
    <x v="1"/>
    <x v="1"/>
    <x v="1"/>
    <x v="1"/>
    <x v="1"/>
    <x v="1"/>
    <x v="1"/>
    <x v="0"/>
    <s v="Non"/>
    <x v="0"/>
    <x v="0"/>
    <x v="0"/>
    <x v="0"/>
    <x v="0"/>
    <x v="0"/>
    <x v="0"/>
    <x v="0"/>
    <x v="0"/>
    <x v="0"/>
    <x v="0"/>
    <x v="0"/>
    <x v="0"/>
    <x v="0"/>
    <x v="0"/>
    <x v="0"/>
    <x v="0"/>
    <x v="0"/>
    <x v="0"/>
    <x v="0"/>
    <x v="0"/>
    <x v="0"/>
    <x v="0"/>
    <x v="0"/>
    <x v="0"/>
    <x v="0"/>
    <x v="0"/>
    <x v="0"/>
    <x v="0"/>
    <x v="1"/>
    <m/>
    <m/>
    <s v="Loco et territorio de Paulhac"/>
    <s v="Enfants"/>
    <s v="Borzeza"/>
    <n v="1"/>
    <n v="0"/>
    <n v="0"/>
    <n v="0"/>
    <n v="0"/>
    <n v="0"/>
    <n v="10.166666666666666"/>
    <n v="0"/>
    <n v="0"/>
    <n v="0"/>
    <n v="0"/>
    <n v="0"/>
    <n v="0"/>
    <n v="3.5"/>
    <n v="0"/>
    <n v="0"/>
    <n v="0"/>
    <n v="0"/>
    <n v="0"/>
    <n v="0"/>
    <n v="0"/>
    <n v="0"/>
    <n v="0"/>
    <n v="0"/>
    <s v="Unam seytoratam prati vocati prati soleyra"/>
    <n v="5.333333333333333"/>
    <n v="0"/>
    <n v="0"/>
    <n v="0"/>
    <n v="0"/>
    <m/>
    <s v="Toussaint"/>
    <m/>
    <s v="Castri Devesseti"/>
    <s v="Devesset, in turre supra portam"/>
    <s v="Girandus Girandi de Pulinaco"/>
    <s v="Petro filio Poncii de Paulhac"/>
    <s v="Andree de Jalibertis"/>
    <m/>
    <m/>
    <m/>
    <m/>
  </r>
  <r>
    <n v="511"/>
    <m/>
    <s v="Johanes"/>
    <s v="Pigassii "/>
    <x v="19"/>
    <m/>
    <m/>
    <s v="Nomine Johanete uxoris sue + Nomine Johanis et Mathei filiorum Guillermi de Mundo per sancti Martini de Tensano condam"/>
    <s v="H"/>
    <n v="1343"/>
    <s v="Avril"/>
    <n v="11"/>
    <s v="Raynaud de Fay"/>
    <s v="Homo-licgius, justitabilis et expletabilis"/>
    <x v="1"/>
    <s v="Non"/>
    <s v="Oui"/>
    <s v="Oui"/>
    <s v="Oui"/>
    <s v="Non"/>
    <m/>
    <s v="Contractus emphiteotitarii"/>
    <x v="3"/>
    <x v="4"/>
    <x v="2"/>
    <x v="0"/>
    <x v="1"/>
    <x v="1"/>
    <x v="1"/>
    <x v="1"/>
    <x v="0"/>
    <x v="0"/>
    <x v="0"/>
    <s v="Non"/>
    <x v="0"/>
    <x v="0"/>
    <x v="0"/>
    <x v="0"/>
    <x v="0"/>
    <x v="0"/>
    <x v="0"/>
    <x v="0"/>
    <x v="0"/>
    <x v="0"/>
    <x v="0"/>
    <x v="0"/>
    <x v="0"/>
    <x v="0"/>
    <x v="0"/>
    <x v="0"/>
    <x v="0"/>
    <x v="0"/>
    <x v="0"/>
    <x v="0"/>
    <x v="0"/>
    <x v="0"/>
    <x v="0"/>
    <x v="0"/>
    <x v="0"/>
    <x v="0"/>
    <x v="0"/>
    <x v="0"/>
    <x v="0"/>
    <x v="1"/>
    <m/>
    <m/>
    <s v="Loco et territorio loci de Mundo"/>
    <s v="Femme + fils Guillermi de Mundo per Sancti Martini de Tensano"/>
    <s v="Borzeza"/>
    <n v="1"/>
    <n v="0"/>
    <n v="0"/>
    <n v="0"/>
    <n v="0"/>
    <n v="1"/>
    <n v="0"/>
    <n v="0"/>
    <n v="0"/>
    <n v="0"/>
    <n v="0"/>
    <n v="0"/>
    <n v="0"/>
    <n v="1.3333333333333333"/>
    <n v="0"/>
    <n v="0"/>
    <n v="0"/>
    <n v="0"/>
    <n v="0"/>
    <n v="0"/>
    <n v="0"/>
    <n v="0"/>
    <n v="0"/>
    <n v="0"/>
    <m/>
    <n v="3.3333333333333335"/>
    <n v="0"/>
    <n v="0"/>
    <n v="0"/>
    <n v="0"/>
    <s v="Censu et talha"/>
    <s v="Toussaint"/>
    <m/>
    <s v="Castri Devesseti"/>
    <s v="Devesset, in turre supra portam"/>
    <s v="Girandus Girandi de Pulinaco"/>
    <s v="Unitenti de Romidras"/>
    <s v="Jacobo filio Johanis Malhorii"/>
    <m/>
    <m/>
    <m/>
    <s v="In quadam compositione olim facta inter dominum aniciensis episcopum et domum Devesseti"/>
  </r>
  <r>
    <n v="761"/>
    <m/>
    <s v="Bonafides"/>
    <s v="De Sapeto"/>
    <x v="20"/>
    <m/>
    <m/>
    <m/>
    <s v="H"/>
    <n v="1343"/>
    <s v="Mai"/>
    <n v="14"/>
    <s v="Raynaud de Fay"/>
    <s v="Homo-licgius, justitabilis et expletabilis"/>
    <x v="1"/>
    <s v="Non"/>
    <s v="Oui"/>
    <s v="Oui"/>
    <s v="Oui"/>
    <s v="Non"/>
    <s v="Avec bœufs et animaux"/>
    <s v="Contractus emphiteotitarii"/>
    <x v="2"/>
    <x v="2"/>
    <x v="2"/>
    <x v="0"/>
    <x v="0"/>
    <x v="0"/>
    <x v="1"/>
    <x v="4"/>
    <x v="0"/>
    <x v="0"/>
    <x v="0"/>
    <s v="Non"/>
    <x v="0"/>
    <x v="0"/>
    <x v="0"/>
    <x v="0"/>
    <x v="0"/>
    <x v="0"/>
    <x v="0"/>
    <x v="0"/>
    <x v="0"/>
    <x v="0"/>
    <x v="0"/>
    <x v="0"/>
    <x v="0"/>
    <x v="0"/>
    <x v="0"/>
    <x v="0"/>
    <x v="0"/>
    <x v="0"/>
    <x v="0"/>
    <x v="0"/>
    <x v="0"/>
    <x v="0"/>
    <x v="0"/>
    <x v="0"/>
    <x v="0"/>
    <x v="0"/>
    <x v="0"/>
    <x v="0"/>
    <x v="0"/>
    <x v="1"/>
    <s v="Avec aquarum et curtibus"/>
    <s v="Domos + possessiones"/>
    <s v="Loco et territorio Del Sape"/>
    <m/>
    <s v="Fay"/>
    <n v="1"/>
    <n v="0"/>
    <n v="0"/>
    <n v="0"/>
    <n v="0"/>
    <n v="1"/>
    <n v="0"/>
    <n v="0"/>
    <n v="0"/>
    <n v="0"/>
    <n v="0"/>
    <n v="0"/>
    <n v="0"/>
    <n v="1"/>
    <n v="0"/>
    <n v="1"/>
    <n v="0"/>
    <n v="0"/>
    <n v="0"/>
    <n v="0"/>
    <n v="0"/>
    <n v="0"/>
    <n v="0"/>
    <n v="0"/>
    <s v="Decima"/>
    <n v="0.33333333333333331"/>
    <n v="0"/>
    <n v="0"/>
    <n v="0"/>
    <n v="0"/>
    <m/>
    <s v="Toussaint"/>
    <s v="De juridictine et senhoria"/>
    <s v="Castri Devesseti"/>
    <s v="Devesset, in turre supra portam"/>
    <s v="Girandus Girandi de Pulinaco"/>
    <s v="Guillermo Blacha domicelli"/>
    <s v="Johane Chambo"/>
    <s v="Petro Malpinha"/>
    <m/>
    <m/>
    <s v="In quadam compositione olim facta inter dominum aniciensis episcopum et domum Devesseti"/>
  </r>
  <r>
    <n v="771"/>
    <m/>
    <s v="Matheus"/>
    <s v="Del Sape"/>
    <x v="20"/>
    <m/>
    <m/>
    <m/>
    <s v="H"/>
    <n v="1343"/>
    <s v="Mai"/>
    <n v="14"/>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s v="Forme mansum del Sape"/>
    <s v="Domum + possessiones"/>
    <s v="Loco et territorio Del Sape"/>
    <m/>
    <s v="Fay"/>
    <n v="0"/>
    <n v="0"/>
    <n v="0"/>
    <n v="0"/>
    <n v="0"/>
    <n v="1"/>
    <n v="1"/>
    <n v="0"/>
    <n v="0"/>
    <n v="0"/>
    <n v="0"/>
    <n v="0"/>
    <n v="0"/>
    <n v="0"/>
    <n v="0"/>
    <n v="1"/>
    <n v="0"/>
    <n v="0"/>
    <n v="0"/>
    <n v="0"/>
    <n v="0"/>
    <n v="0"/>
    <n v="0"/>
    <n v="0"/>
    <s v="Decima"/>
    <n v="0.41666666666666669"/>
    <n v="0"/>
    <n v="0"/>
    <n v="0"/>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781"/>
    <m/>
    <s v="Petrus"/>
    <s v="Samuel de Sapeto"/>
    <x v="20"/>
    <m/>
    <m/>
    <s v="Pro ac nomine Petri Blanchardu de Sapeto eius nepotis"/>
    <s v="H"/>
    <n v="1343"/>
    <s v="Mai"/>
    <n v="14"/>
    <s v="Raynaud de Fay"/>
    <s v="Homo-licgius, justitabilis et expletabilis"/>
    <x v="1"/>
    <s v="Non"/>
    <s v="Oui"/>
    <s v="Oui"/>
    <s v="Oui"/>
    <s v="Non"/>
    <m/>
    <s v="Contractus emphiteotitarii"/>
    <x v="2"/>
    <x v="2"/>
    <x v="2"/>
    <x v="0"/>
    <x v="0"/>
    <x v="1"/>
    <x v="1"/>
    <x v="4"/>
    <x v="1"/>
    <x v="1"/>
    <x v="0"/>
    <s v="Non"/>
    <x v="0"/>
    <x v="0"/>
    <x v="0"/>
    <x v="0"/>
    <x v="0"/>
    <x v="0"/>
    <x v="0"/>
    <x v="0"/>
    <x v="0"/>
    <x v="0"/>
    <x v="0"/>
    <x v="0"/>
    <x v="0"/>
    <x v="0"/>
    <x v="0"/>
    <x v="0"/>
    <x v="0"/>
    <x v="0"/>
    <x v="0"/>
    <x v="0"/>
    <x v="0"/>
    <x v="0"/>
    <x v="0"/>
    <x v="0"/>
    <x v="0"/>
    <x v="0"/>
    <x v="0"/>
    <x v="0"/>
    <x v="0"/>
    <x v="1"/>
    <m/>
    <s v="Domos + possessiones"/>
    <s v="Loco et territorio Del Sape"/>
    <s v="Neveu"/>
    <s v="Pas de mesure de céréale"/>
    <n v="2"/>
    <n v="0"/>
    <n v="0"/>
    <n v="0"/>
    <n v="1"/>
    <n v="0"/>
    <n v="0"/>
    <n v="0"/>
    <n v="1"/>
    <n v="0"/>
    <n v="0"/>
    <n v="0"/>
    <n v="1"/>
    <n v="0"/>
    <n v="0"/>
    <n v="0"/>
    <n v="0"/>
    <n v="0"/>
    <n v="0"/>
    <n v="0"/>
    <n v="0"/>
    <n v="0"/>
    <n v="0"/>
    <n v="0"/>
    <s v="Decima"/>
    <n v="0.91666666666666663"/>
    <n v="0"/>
    <n v="0"/>
    <n v="0"/>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1293"/>
    <m/>
    <s v="Petrus"/>
    <s v="Masoerii de Vina Torto"/>
    <x v="21"/>
    <m/>
    <m/>
    <m/>
    <s v="H"/>
    <n v="1343"/>
    <s v="Décembre"/>
    <n v="10"/>
    <s v="Raynaud de Fay"/>
    <s v="Promisit esse fidelis tenementarius domus Devesseti"/>
    <x v="0"/>
    <m/>
    <m/>
    <m/>
    <m/>
    <m/>
    <m/>
    <s v="Constractus emphiteotarii"/>
    <x v="0"/>
    <x v="0"/>
    <x v="0"/>
    <x v="0"/>
    <x v="0"/>
    <x v="0"/>
    <x v="0"/>
    <x v="5"/>
    <x v="0"/>
    <x v="0"/>
    <x v="0"/>
    <s v="Non"/>
    <x v="0"/>
    <x v="0"/>
    <x v="0"/>
    <x v="0"/>
    <x v="0"/>
    <x v="0"/>
    <x v="0"/>
    <x v="0"/>
    <x v="0"/>
    <x v="0"/>
    <x v="0"/>
    <x v="0"/>
    <x v="0"/>
    <x v="0"/>
    <x v="0"/>
    <x v="0"/>
    <x v="0"/>
    <x v="0"/>
    <x v="0"/>
    <x v="0"/>
    <x v="0"/>
    <x v="0"/>
    <x v="0"/>
    <x v="0"/>
    <x v="0"/>
    <x v="0"/>
    <x v="0"/>
    <x v="0"/>
    <x v="0"/>
    <x v="0"/>
    <m/>
    <s v="2 terre petiam"/>
    <m/>
    <m/>
    <s v="Rochebonne"/>
    <n v="0"/>
    <n v="0"/>
    <n v="0"/>
    <n v="0"/>
    <n v="0"/>
    <n v="0"/>
    <n v="1"/>
    <n v="0"/>
    <n v="0"/>
    <n v="0"/>
    <n v="0"/>
    <n v="0"/>
    <n v="0"/>
    <n v="0"/>
    <n v="0"/>
    <n v="0"/>
    <n v="0"/>
    <n v="0"/>
    <n v="0"/>
    <n v="0"/>
    <n v="0"/>
    <n v="0"/>
    <n v="0"/>
    <n v="0"/>
    <m/>
    <n v="0"/>
    <n v="0"/>
    <n v="0"/>
    <n v="0"/>
    <n v="0"/>
    <m/>
    <s v="Toussaint"/>
    <m/>
    <m/>
    <s v="Apud Avenas, in domo dicti Poncii"/>
    <s v="Girandus Girandi de Pulinaco"/>
    <s v="Fratre Johane Meruli"/>
    <s v="Guillermo Grosseti"/>
    <s v="Vitaloro filio Johannis Ruffi de Aymoneto de Sancto Agrippavio"/>
    <m/>
    <m/>
    <m/>
  </r>
  <r>
    <n v="1432"/>
    <s v="Page dure à lire"/>
    <s v="Bartholomeus + Bonafides, Peyronetus, Guigo et Vialonus + Matheus et Johanenus"/>
    <s v="De Ruppeta + de Verneto + de la Rocheta"/>
    <x v="21"/>
    <m/>
    <s v="Johanenus de la Rocheta filius Guigonis de la Rocheta condam"/>
    <s v="Bertholomeus de Ruppeta nomine Johannis et Vitalis de Ruppeta fratrum suorum + Bonafides de Verneto nomine Johannis et Petri de Vermeto eius fratrum et Catrine eorum sororum + Peyruchonetus de Verneto nomine Guillermeti eius sorrii + Matheus de la Rocheta nomine Petronille et Andrene de la Rocheta eius sororum + Johanenus de la Rocheta nomine Pineti eius fratris et Guiillome Pastoris et Geremie eius sororis + Guigo de Verneto nomine Bartholomeo eius fratris et nomine liberorum Johannis de Verneto condam + Vialonis de Verneto nomine Poncii, Vilete et Andrene eius sororum "/>
    <s v="G"/>
    <n v="1343"/>
    <s v="Février"/>
    <n v="18"/>
    <s v="Raynaud de Fay"/>
    <m/>
    <x v="0"/>
    <m/>
    <m/>
    <m/>
    <m/>
    <m/>
    <m/>
    <s v="Constractus emphiteotarii"/>
    <x v="0"/>
    <x v="0"/>
    <x v="0"/>
    <x v="0"/>
    <x v="0"/>
    <x v="0"/>
    <x v="0"/>
    <x v="1"/>
    <x v="0"/>
    <x v="0"/>
    <x v="0"/>
    <s v="Non"/>
    <x v="0"/>
    <x v="0"/>
    <x v="0"/>
    <x v="0"/>
    <x v="0"/>
    <x v="0"/>
    <x v="0"/>
    <x v="0"/>
    <x v="0"/>
    <x v="0"/>
    <x v="0"/>
    <x v="0"/>
    <x v="0"/>
    <x v="0"/>
    <x v="0"/>
    <x v="0"/>
    <x v="0"/>
    <x v="0"/>
    <x v="0"/>
    <x v="2"/>
    <x v="0"/>
    <x v="0"/>
    <x v="0"/>
    <x v="0"/>
    <x v="0"/>
    <x v="0"/>
    <x v="0"/>
    <x v="0"/>
    <x v="0"/>
    <x v="0"/>
    <m/>
    <s v="Chastanerium"/>
    <m/>
    <s v="Divers"/>
    <m/>
    <n v="0"/>
    <n v="0"/>
    <n v="0"/>
    <n v="0"/>
    <n v="0"/>
    <n v="0"/>
    <n v="0"/>
    <n v="0"/>
    <n v="0"/>
    <n v="0"/>
    <n v="0"/>
    <n v="0"/>
    <n v="0"/>
    <n v="0"/>
    <n v="0"/>
    <n v="0"/>
    <n v="0"/>
    <n v="0"/>
    <n v="0"/>
    <n v="0"/>
    <n v="6"/>
    <n v="1"/>
    <n v="0"/>
    <n v="0"/>
    <s v="Chastanerium"/>
    <n v="0"/>
    <n v="0"/>
    <n v="0"/>
    <n v="0"/>
    <n v="0"/>
    <m/>
    <s v="Toussaint"/>
    <m/>
    <m/>
    <m/>
    <s v="Girandus Girandi de Pulinaco"/>
    <m/>
    <m/>
    <m/>
    <m/>
    <m/>
    <s v="Compositione olim facta per religiosus virum fratrum Artaudum Elie preceptoris Devesseti condam et Petro de Mastra domino dicti castri de Mastra"/>
  </r>
  <r>
    <n v="1491"/>
    <m/>
    <s v="Johannes + Nicholaus et Petris"/>
    <s v="Turris + Turris Dens Forus"/>
    <x v="22"/>
    <s v="Parrochie de Lanastres"/>
    <m/>
    <m/>
    <s v="G"/>
    <n v="1342"/>
    <s v="Février"/>
    <s v="?"/>
    <s v="Raynaud de Fay"/>
    <m/>
    <x v="0"/>
    <m/>
    <m/>
    <m/>
    <m/>
    <m/>
    <m/>
    <s v="Constractus emphiteotarii"/>
    <x v="0"/>
    <x v="0"/>
    <x v="4"/>
    <x v="0"/>
    <x v="0"/>
    <x v="0"/>
    <x v="4"/>
    <x v="0"/>
    <x v="0"/>
    <x v="0"/>
    <x v="0"/>
    <s v="Non"/>
    <x v="0"/>
    <x v="0"/>
    <x v="0"/>
    <x v="0"/>
    <x v="3"/>
    <x v="0"/>
    <x v="0"/>
    <x v="0"/>
    <x v="0"/>
    <x v="0"/>
    <x v="0"/>
    <x v="0"/>
    <x v="0"/>
    <x v="0"/>
    <x v="0"/>
    <x v="0"/>
    <x v="0"/>
    <x v="0"/>
    <x v="0"/>
    <x v="0"/>
    <x v="0"/>
    <x v="0"/>
    <x v="0"/>
    <x v="0"/>
    <x v="0"/>
    <x v="0"/>
    <x v="0"/>
    <x v="0"/>
    <x v="0"/>
    <x v="0"/>
    <m/>
    <s v="2 garaitum + terram+ pratum + pasturale"/>
    <m/>
    <m/>
    <s v="Fay"/>
    <n v="0"/>
    <n v="0"/>
    <n v="0"/>
    <n v="0"/>
    <n v="0"/>
    <n v="0"/>
    <n v="12"/>
    <n v="0"/>
    <n v="0"/>
    <n v="0"/>
    <n v="0"/>
    <n v="0"/>
    <n v="0"/>
    <n v="12"/>
    <n v="0"/>
    <n v="0"/>
    <n v="0"/>
    <n v="0"/>
    <n v="0"/>
    <n v="0"/>
    <n v="0"/>
    <n v="0"/>
    <n v="0"/>
    <n v="0"/>
    <m/>
    <n v="7"/>
    <n v="0"/>
    <n v="0"/>
    <n v="0"/>
    <n v="0"/>
    <s v="2 pratum + pasturale"/>
    <s v="Toussaint"/>
    <m/>
    <m/>
    <s v="Devesset, in quoquina"/>
    <s v="Girandus Girandi de Pulinaco"/>
    <s v="Johanne Meruli"/>
    <s v="Petro Curtilis de Villaloma"/>
    <s v="Guigone Chaicua"/>
    <m/>
    <m/>
    <m/>
  </r>
  <r>
    <n v="422"/>
    <s v="Et 431"/>
    <s v="Michael"/>
    <s v="Tanani"/>
    <x v="23"/>
    <m/>
    <m/>
    <s v="Pro Johaneta et Jacineta eius nepotum"/>
    <s v="H"/>
    <n v="1343"/>
    <s v="Mars"/>
    <n v="29"/>
    <s v="Raynaud de Fay"/>
    <s v="Homo-licgius, justitabilis et expletabilis"/>
    <x v="1"/>
    <s v="Non"/>
    <s v="Oui"/>
    <s v="Oui"/>
    <s v="Oui"/>
    <s v="Non"/>
    <s v="Avec bœufs et animaux"/>
    <s v="Contractus emphiteotitarii"/>
    <x v="3"/>
    <x v="2"/>
    <x v="2"/>
    <x v="1"/>
    <x v="0"/>
    <x v="1"/>
    <x v="1"/>
    <x v="1"/>
    <x v="0"/>
    <x v="0"/>
    <x v="0"/>
    <s v="Oui"/>
    <x v="0"/>
    <x v="0"/>
    <x v="0"/>
    <x v="0"/>
    <x v="0"/>
    <x v="0"/>
    <x v="0"/>
    <x v="0"/>
    <x v="0"/>
    <x v="0"/>
    <x v="0"/>
    <x v="0"/>
    <x v="0"/>
    <x v="0"/>
    <x v="0"/>
    <x v="0"/>
    <x v="0"/>
    <x v="0"/>
    <x v="0"/>
    <x v="0"/>
    <x v="0"/>
    <x v="0"/>
    <x v="0"/>
    <x v="0"/>
    <x v="0"/>
    <x v="0"/>
    <x v="0"/>
    <x v="0"/>
    <x v="0"/>
    <x v="1"/>
    <m/>
    <s v="Domus + possessiones + terra"/>
    <s v="Loco Dens Tenanos"/>
    <s v="Neveux"/>
    <s v="Devesset"/>
    <n v="0"/>
    <n v="0"/>
    <n v="0"/>
    <n v="0"/>
    <n v="0"/>
    <n v="0"/>
    <n v="21"/>
    <n v="0"/>
    <n v="0"/>
    <n v="0"/>
    <n v="0"/>
    <n v="0"/>
    <n v="0"/>
    <n v="20"/>
    <n v="0"/>
    <n v="0"/>
    <n v="0"/>
    <n v="0"/>
    <n v="0"/>
    <n v="0"/>
    <n v="0"/>
    <n v="0"/>
    <n v="0"/>
    <n v="0"/>
    <s v="Terra"/>
    <n v="28"/>
    <n v="0"/>
    <n v="0"/>
    <n v="0"/>
    <n v="0"/>
    <s v="Censu et talha"/>
    <s v="Toussaint"/>
    <s v="Merum et mixtum imperio"/>
    <s v="Castri Devesseti"/>
    <s v="Devesset, in turre supra portam"/>
    <s v="Girandus Girandi de Pulinaco"/>
    <s v="Andree Despaetis"/>
    <s v="Vitale Claustrerii du Ruppe"/>
    <s v="Bona Sabateno"/>
    <m/>
    <m/>
    <s v="In quadam compositione olim facta inter dominum aniciensis episcopum et domum Devesseti"/>
  </r>
  <r>
    <n v="1773"/>
    <m/>
    <s v="Vitalis"/>
    <s v="Alvernhasso"/>
    <x v="24"/>
    <m/>
    <m/>
    <m/>
    <s v="H"/>
    <n v="1343"/>
    <s v="Décembre"/>
    <n v="8"/>
    <s v="Raynaud de Fay"/>
    <m/>
    <x v="0"/>
    <m/>
    <m/>
    <m/>
    <m/>
    <m/>
    <m/>
    <m/>
    <x v="0"/>
    <x v="0"/>
    <x v="0"/>
    <x v="0"/>
    <x v="0"/>
    <x v="0"/>
    <x v="0"/>
    <x v="1"/>
    <x v="0"/>
    <x v="0"/>
    <x v="0"/>
    <s v="Non"/>
    <x v="0"/>
    <x v="0"/>
    <x v="2"/>
    <x v="0"/>
    <x v="0"/>
    <x v="0"/>
    <x v="0"/>
    <x v="0"/>
    <x v="0"/>
    <x v="0"/>
    <x v="0"/>
    <x v="0"/>
    <x v="0"/>
    <x v="0"/>
    <x v="0"/>
    <x v="0"/>
    <x v="0"/>
    <x v="0"/>
    <x v="0"/>
    <x v="0"/>
    <x v="0"/>
    <x v="2"/>
    <x v="0"/>
    <x v="0"/>
    <x v="0"/>
    <x v="0"/>
    <x v="2"/>
    <x v="0"/>
    <x v="0"/>
    <x v="0"/>
    <m/>
    <s v="Levatam"/>
    <m/>
    <m/>
    <s v="Devesset"/>
    <n v="0"/>
    <n v="0"/>
    <n v="0"/>
    <n v="0"/>
    <n v="0"/>
    <n v="0"/>
    <n v="0"/>
    <n v="0"/>
    <n v="0"/>
    <n v="0"/>
    <n v="0"/>
    <n v="0"/>
    <n v="0"/>
    <n v="1"/>
    <n v="0"/>
    <n v="0"/>
    <n v="0"/>
    <n v="0"/>
    <n v="0"/>
    <n v="0"/>
    <n v="0"/>
    <n v="0"/>
    <n v="0"/>
    <n v="0"/>
    <m/>
    <n v="0"/>
    <n v="0"/>
    <n v="0"/>
    <n v="0"/>
    <n v="0"/>
    <m/>
    <s v="Toussaint"/>
    <m/>
    <m/>
    <s v="Saint-Agrève, ante domum Guigonis de Ponte"/>
    <s v="Girandus Girandi de Pulinaco"/>
    <s v="Gameno Verilhati"/>
    <s v="Durando Verilhati"/>
    <s v="Johanne Roerii"/>
    <m/>
    <m/>
    <m/>
  </r>
  <r>
    <n v="1521"/>
    <m/>
    <s v="Johannes"/>
    <s v="De Feudo"/>
    <x v="25"/>
    <m/>
    <m/>
    <m/>
    <s v="H"/>
    <n v="1342"/>
    <s v="Février"/>
    <s v="?"/>
    <s v="Raynaud de Fay"/>
    <s v="Homo-licgius justitiabilis et talhabilis ad omnimodas voluntates"/>
    <x v="0"/>
    <s v="Non"/>
    <s v="Oui"/>
    <s v="Oui"/>
    <s v="Oui"/>
    <s v="Non"/>
    <s v="Avec bœufs et animaux"/>
    <s v="Constractus emphiteotarii"/>
    <x v="0"/>
    <x v="0"/>
    <x v="0"/>
    <x v="0"/>
    <x v="0"/>
    <x v="0"/>
    <x v="0"/>
    <x v="1"/>
    <x v="0"/>
    <x v="0"/>
    <x v="0"/>
    <s v="Non"/>
    <x v="0"/>
    <x v="0"/>
    <x v="0"/>
    <x v="0"/>
    <x v="0"/>
    <x v="0"/>
    <x v="0"/>
    <x v="0"/>
    <x v="0"/>
    <x v="0"/>
    <x v="0"/>
    <x v="0"/>
    <x v="3"/>
    <x v="0"/>
    <x v="0"/>
    <x v="0"/>
    <x v="0"/>
    <x v="0"/>
    <x v="0"/>
    <x v="0"/>
    <x v="0"/>
    <x v="0"/>
    <x v="0"/>
    <x v="0"/>
    <x v="0"/>
    <x v="0"/>
    <x v="0"/>
    <x v="0"/>
    <x v="0"/>
    <x v="0"/>
    <m/>
    <s v="Tenementum"/>
    <m/>
    <m/>
    <s v="Fay"/>
    <n v="1"/>
    <n v="0"/>
    <n v="0"/>
    <n v="0"/>
    <n v="2"/>
    <n v="0"/>
    <n v="0"/>
    <n v="0"/>
    <n v="0"/>
    <n v="0"/>
    <n v="0"/>
    <n v="2"/>
    <n v="0"/>
    <n v="0"/>
    <n v="0"/>
    <n v="0"/>
    <n v="0"/>
    <n v="0"/>
    <n v="0"/>
    <n v="0"/>
    <n v="0"/>
    <n v="0"/>
    <n v="0"/>
    <n v="0"/>
    <s v="Tenementum"/>
    <n v="25"/>
    <n v="0"/>
    <n v="0"/>
    <n v="0"/>
    <n v="0"/>
    <m/>
    <m/>
    <m/>
    <m/>
    <s v="Devesset, in quoquina"/>
    <s v="Girandus Girandi de Pulinaco"/>
    <s v="Petro de Ruppe"/>
    <s v="Al Malimiho"/>
    <s v="Johanne Sabatii"/>
    <s v="Domino Vitale de Clauselis"/>
    <m/>
    <m/>
  </r>
  <r>
    <n v="441"/>
    <m/>
    <s v="Johannes"/>
    <s v="De Filatrama"/>
    <x v="26"/>
    <m/>
    <s v="Filius Jacobi"/>
    <s v="Pro Petri eius fratris"/>
    <s v="H"/>
    <n v="1343"/>
    <s v="Avril"/>
    <n v="2"/>
    <s v="Raynaud de Fay"/>
    <s v="Homo-licgius, justitabilis et expletabilis"/>
    <x v="1"/>
    <s v="Non"/>
    <s v="Oui"/>
    <s v="Oui"/>
    <s v="Oui"/>
    <s v="Non"/>
    <m/>
    <s v="Contractus emphiteotitarii"/>
    <x v="2"/>
    <x v="2"/>
    <x v="2"/>
    <x v="0"/>
    <x v="0"/>
    <x v="0"/>
    <x v="0"/>
    <x v="4"/>
    <x v="0"/>
    <x v="0"/>
    <x v="1"/>
    <s v="Non"/>
    <x v="0"/>
    <x v="0"/>
    <x v="0"/>
    <x v="0"/>
    <x v="2"/>
    <x v="0"/>
    <x v="0"/>
    <x v="0"/>
    <x v="0"/>
    <x v="0"/>
    <x v="0"/>
    <x v="0"/>
    <x v="0"/>
    <x v="0"/>
    <x v="0"/>
    <x v="0"/>
    <x v="0"/>
    <x v="0"/>
    <x v="0"/>
    <x v="0"/>
    <x v="0"/>
    <x v="0"/>
    <x v="0"/>
    <x v="0"/>
    <x v="0"/>
    <x v="0"/>
    <x v="0"/>
    <x v="0"/>
    <x v="0"/>
    <x v="0"/>
    <m/>
    <s v="Gragia + terra + garaita + prata + terra in villanagium"/>
    <m/>
    <s v="Frère"/>
    <s v="Devesset"/>
    <n v="1"/>
    <n v="2"/>
    <n v="0"/>
    <n v="0"/>
    <n v="0"/>
    <n v="0"/>
    <n v="7"/>
    <n v="0"/>
    <n v="0"/>
    <n v="0"/>
    <n v="0"/>
    <n v="0"/>
    <n v="0"/>
    <n v="6"/>
    <n v="0"/>
    <n v="0"/>
    <n v="0"/>
    <n v="0"/>
    <n v="0"/>
    <n v="0"/>
    <n v="0"/>
    <n v="0"/>
    <n v="0"/>
    <n v="0"/>
    <s v="Levata + terra"/>
    <n v="22"/>
    <n v="0"/>
    <n v="0"/>
    <n v="0"/>
    <n v="0"/>
    <s v="Censu et talha"/>
    <s v="Toussaint"/>
    <s v="De juridictione omnimoda et merum et mistum imperium"/>
    <s v="Castri Devesseti"/>
    <s v="Devesset, in turre supra portam"/>
    <s v="Girandus Girandi de Pulinaco"/>
    <s v="Guillermo Anianis de Sancto Agrippavo clerico notarii"/>
    <s v="Johanne et Petro de Chalmetis prope Chalmariais"/>
    <m/>
    <m/>
    <m/>
    <s v="In quadam compositione olim facta inter dominum aniciensis episcopum et domum Devesseti"/>
  </r>
  <r>
    <n v="1402"/>
    <m/>
    <s v="Mondonus"/>
    <s v="De Flossac"/>
    <x v="27"/>
    <m/>
    <s v="Domicellis"/>
    <m/>
    <s v="H"/>
    <n v="1342"/>
    <s v="Mai"/>
    <n v="23"/>
    <s v="Raynaud de Fay"/>
    <s v="Promisit esse bonus et fidelis castri Devesseti"/>
    <x v="0"/>
    <m/>
    <m/>
    <m/>
    <m/>
    <m/>
    <m/>
    <m/>
    <x v="0"/>
    <x v="0"/>
    <x v="4"/>
    <x v="0"/>
    <x v="0"/>
    <x v="0"/>
    <x v="4"/>
    <x v="4"/>
    <x v="0"/>
    <x v="0"/>
    <x v="0"/>
    <s v="Non"/>
    <x v="0"/>
    <x v="0"/>
    <x v="0"/>
    <x v="0"/>
    <x v="0"/>
    <x v="0"/>
    <x v="0"/>
    <x v="0"/>
    <x v="0"/>
    <x v="0"/>
    <x v="0"/>
    <x v="0"/>
    <x v="0"/>
    <x v="0"/>
    <x v="0"/>
    <x v="0"/>
    <x v="0"/>
    <x v="0"/>
    <x v="0"/>
    <x v="0"/>
    <x v="0"/>
    <x v="0"/>
    <x v="0"/>
    <x v="0"/>
    <x v="0"/>
    <x v="0"/>
    <x v="0"/>
    <x v="0"/>
    <x v="0"/>
    <x v="0"/>
    <m/>
    <s v="2 pratum + pasturale + terre"/>
    <m/>
    <m/>
    <m/>
    <n v="0"/>
    <n v="0"/>
    <n v="0"/>
    <n v="0"/>
    <n v="0"/>
    <n v="0"/>
    <n v="0"/>
    <n v="0"/>
    <n v="0"/>
    <n v="0"/>
    <n v="0"/>
    <n v="0"/>
    <n v="0"/>
    <n v="0"/>
    <n v="0"/>
    <n v="0"/>
    <n v="0"/>
    <n v="0"/>
    <n v="0"/>
    <n v="0"/>
    <n v="0"/>
    <n v="0"/>
    <n v="0"/>
    <n v="0"/>
    <s v="Redevance à Devesset"/>
    <n v="6"/>
    <n v="0"/>
    <n v="0"/>
    <n v="0"/>
    <n v="0"/>
    <m/>
    <s v="Toussaint"/>
    <s v="Alta et bassa mero et mixto imperio"/>
    <s v="Castri Banno, excepto quod ad ispium pertin ere quod idem dominis preceptor non tradit ymo penitus ignorat"/>
    <s v="Devesset, sub estras"/>
    <s v="Girandus Girandi de Pulinaco"/>
    <s v="Fratre Johanne Meruli"/>
    <s v="Fratre Petro de Casalibus"/>
    <s v="Andree Garalis norarii regis"/>
    <s v="[…] de Chalmetis sive de Sanna"/>
    <m/>
    <m/>
  </r>
  <r>
    <n v="1861"/>
    <m/>
    <s v="Margaros"/>
    <s v="Asteyra"/>
    <x v="27"/>
    <m/>
    <m/>
    <m/>
    <s v="F"/>
    <n v="1344"/>
    <s v="Mai"/>
    <n v="27"/>
    <s v="Raynaud de Fay"/>
    <s v="Promisit esse fidelis tenementarius domus Devesseti"/>
    <x v="0"/>
    <s v="Non"/>
    <s v="Oui"/>
    <s v="Oui"/>
    <s v="Oui"/>
    <s v="Non"/>
    <m/>
    <m/>
    <x v="0"/>
    <x v="0"/>
    <x v="0"/>
    <x v="0"/>
    <x v="0"/>
    <x v="0"/>
    <x v="0"/>
    <x v="1"/>
    <x v="0"/>
    <x v="0"/>
    <x v="0"/>
    <s v="Non"/>
    <x v="1"/>
    <x v="0"/>
    <x v="0"/>
    <x v="0"/>
    <x v="0"/>
    <x v="0"/>
    <x v="0"/>
    <x v="0"/>
    <x v="0"/>
    <x v="0"/>
    <x v="0"/>
    <x v="0"/>
    <x v="0"/>
    <x v="0"/>
    <x v="0"/>
    <x v="0"/>
    <x v="0"/>
    <x v="0"/>
    <x v="0"/>
    <x v="0"/>
    <x v="0"/>
    <x v="0"/>
    <x v="0"/>
    <x v="0"/>
    <x v="0"/>
    <x v="0"/>
    <x v="0"/>
    <x v="1"/>
    <x v="0"/>
    <x v="0"/>
    <m/>
    <s v="Mansum + calmam"/>
    <m/>
    <m/>
    <s v="Devesset"/>
    <n v="0"/>
    <n v="0"/>
    <n v="0"/>
    <n v="0"/>
    <n v="0"/>
    <n v="0"/>
    <n v="7"/>
    <n v="0"/>
    <n v="0"/>
    <n v="0"/>
    <n v="0"/>
    <n v="0"/>
    <n v="0"/>
    <n v="0"/>
    <n v="1"/>
    <n v="0"/>
    <n v="0"/>
    <n v="0"/>
    <n v="0"/>
    <n v="0"/>
    <n v="0"/>
    <n v="0"/>
    <n v="0"/>
    <n v="0"/>
    <m/>
    <n v="0"/>
    <n v="0"/>
    <n v="0"/>
    <n v="0"/>
    <n v="0"/>
    <m/>
    <s v="Toussaint"/>
    <m/>
    <m/>
    <s v="Devesset, in turre supra portam"/>
    <s v="Girandus Girandi de Pulinaco"/>
    <s v="Fratre Jacobo de Chalmetis Hospitalis"/>
    <s v="Johanne Cardan sive Sanhas de Chausilhac"/>
    <s v="Guonor de Villa Nova"/>
    <m/>
    <m/>
    <m/>
  </r>
  <r>
    <n v="1351"/>
    <s v="Marge illisible"/>
    <s v="Johannes"/>
    <s v="De Fonte"/>
    <x v="28"/>
    <m/>
    <m/>
    <m/>
    <s v="H"/>
    <n v="1343"/>
    <s v="Mai"/>
    <n v="22"/>
    <s v="Raynaud de Fay"/>
    <m/>
    <x v="0"/>
    <m/>
    <m/>
    <m/>
    <m/>
    <m/>
    <m/>
    <m/>
    <x v="0"/>
    <x v="0"/>
    <x v="0"/>
    <x v="0"/>
    <x v="3"/>
    <x v="0"/>
    <x v="0"/>
    <x v="1"/>
    <x v="0"/>
    <x v="0"/>
    <x v="0"/>
    <s v="Non"/>
    <x v="0"/>
    <x v="0"/>
    <x v="0"/>
    <x v="0"/>
    <x v="0"/>
    <x v="0"/>
    <x v="0"/>
    <x v="0"/>
    <x v="0"/>
    <x v="0"/>
    <x v="0"/>
    <x v="0"/>
    <x v="0"/>
    <x v="0"/>
    <x v="0"/>
    <x v="0"/>
    <x v="0"/>
    <x v="0"/>
    <x v="0"/>
    <x v="0"/>
    <x v="0"/>
    <x v="0"/>
    <x v="0"/>
    <x v="0"/>
    <x v="0"/>
    <x v="0"/>
    <x v="0"/>
    <x v="0"/>
    <x v="0"/>
    <x v="0"/>
    <s v="Tempore quo badam facere in eadem quod dominis preceptoris hec ibididem quartum bladorum ibidem ex cercensium prout in aliis terris cartinis mandamendti sui Devesseti percipere confuenit"/>
    <s v="Nemore"/>
    <m/>
    <m/>
    <m/>
    <n v="0"/>
    <n v="0"/>
    <n v="0"/>
    <n v="0"/>
    <n v="0"/>
    <n v="0"/>
    <n v="0"/>
    <n v="0"/>
    <n v="0"/>
    <n v="0"/>
    <n v="0"/>
    <n v="0"/>
    <n v="0"/>
    <n v="0"/>
    <n v="0"/>
    <n v="0"/>
    <n v="0"/>
    <n v="0"/>
    <n v="0"/>
    <n v="0"/>
    <n v="0"/>
    <n v="0"/>
    <n v="0"/>
    <n v="0"/>
    <m/>
    <n v="0"/>
    <n v="0"/>
    <n v="0"/>
    <n v="0"/>
    <n v="0"/>
    <m/>
    <m/>
    <m/>
    <m/>
    <s v="Devesset, in estis ante cameram domini preceptoris"/>
    <s v="Girandus Girandi de Pulinaco"/>
    <s v="Matheo Maifechis"/>
    <s v="Michaele Maifeschis"/>
    <m/>
    <m/>
    <m/>
    <m/>
  </r>
  <r>
    <n v="1871"/>
    <m/>
    <s v="Johanneta"/>
    <s v="De Frigidis Perietibus"/>
    <x v="29"/>
    <s v="Habitator de Croseto"/>
    <m/>
    <m/>
    <s v="F"/>
    <n v="1345"/>
    <s v="Avril"/>
    <n v="7"/>
    <s v="Raynaud de Fay"/>
    <s v="Mulier-licgia, justitabilis et expletabilis"/>
    <x v="0"/>
    <s v="Non"/>
    <s v="Oui"/>
    <s v="Oui"/>
    <s v="Oui"/>
    <s v="Non"/>
    <m/>
    <s v="Constractus emphiteotarii"/>
    <x v="3"/>
    <x v="0"/>
    <x v="0"/>
    <x v="0"/>
    <x v="0"/>
    <x v="0"/>
    <x v="0"/>
    <x v="1"/>
    <x v="0"/>
    <x v="0"/>
    <x v="0"/>
    <s v="Non"/>
    <x v="0"/>
    <x v="0"/>
    <x v="0"/>
    <x v="0"/>
    <x v="0"/>
    <x v="0"/>
    <x v="0"/>
    <x v="0"/>
    <x v="0"/>
    <x v="0"/>
    <x v="0"/>
    <x v="0"/>
    <x v="0"/>
    <x v="0"/>
    <x v="0"/>
    <x v="0"/>
    <x v="0"/>
    <x v="0"/>
    <x v="0"/>
    <x v="0"/>
    <x v="0"/>
    <x v="0"/>
    <x v="0"/>
    <x v="0"/>
    <x v="0"/>
    <x v="0"/>
    <x v="0"/>
    <x v="0"/>
    <x v="0"/>
    <x v="1"/>
    <m/>
    <s v="Domum"/>
    <s v="Loco et territorio de Frigidis Periet"/>
    <m/>
    <s v="Pas de mesure de céréale"/>
    <n v="0"/>
    <n v="0"/>
    <n v="0"/>
    <n v="0"/>
    <n v="0"/>
    <n v="0"/>
    <n v="1.5"/>
    <n v="0.5"/>
    <n v="0"/>
    <n v="0"/>
    <n v="0"/>
    <n v="0"/>
    <n v="0"/>
    <n v="0"/>
    <n v="1"/>
    <n v="0"/>
    <n v="0"/>
    <n v="0"/>
    <n v="0"/>
    <n v="0"/>
    <n v="0"/>
    <n v="0"/>
    <n v="0"/>
    <n v="0"/>
    <m/>
    <n v="3.5833333333333335"/>
    <n v="1"/>
    <n v="0"/>
    <n v="0"/>
    <n v="0"/>
    <s v="Censu et talha"/>
    <s v="Toussaint"/>
    <m/>
    <m/>
    <s v="Ville Neuve de Devesset, in hospicio Johannis Comptoris"/>
    <s v="Girandus Girandi de Pulinaco"/>
    <s v="Guillermo Badelli"/>
    <s v="Laurentio de Montabonello"/>
    <m/>
    <m/>
    <m/>
    <m/>
  </r>
  <r>
    <n v="1711"/>
    <m/>
    <s v="Johennes"/>
    <s v="Ruelli"/>
    <x v="30"/>
    <m/>
    <m/>
    <m/>
    <s v="H"/>
    <n v="1343"/>
    <s v="Avril"/>
    <n v="16"/>
    <s v="Raynaud de Fay"/>
    <m/>
    <x v="0"/>
    <s v="Non"/>
    <s v="Oui"/>
    <s v="Non"/>
    <s v="Oui"/>
    <s v="Non"/>
    <m/>
    <m/>
    <x v="0"/>
    <x v="0"/>
    <x v="5"/>
    <x v="0"/>
    <x v="4"/>
    <x v="0"/>
    <x v="0"/>
    <x v="4"/>
    <x v="0"/>
    <x v="0"/>
    <x v="0"/>
    <s v="Non"/>
    <x v="0"/>
    <x v="0"/>
    <x v="0"/>
    <x v="0"/>
    <x v="0"/>
    <x v="0"/>
    <x v="0"/>
    <x v="9"/>
    <x v="0"/>
    <x v="0"/>
    <x v="0"/>
    <x v="0"/>
    <x v="0"/>
    <x v="0"/>
    <x v="0"/>
    <x v="0"/>
    <x v="0"/>
    <x v="0"/>
    <x v="0"/>
    <x v="0"/>
    <x v="0"/>
    <x v="0"/>
    <x v="0"/>
    <x v="0"/>
    <x v="0"/>
    <x v="0"/>
    <x v="0"/>
    <x v="0"/>
    <x v="0"/>
    <x v="1"/>
    <m/>
    <s v="11 petiam + meytenchadam terre + 2 nemus + partem mansi + 3 pratum + possessiones"/>
    <s v="Territorio de Chanils"/>
    <m/>
    <s v="Fay"/>
    <n v="0"/>
    <n v="0"/>
    <n v="0"/>
    <n v="0"/>
    <n v="0"/>
    <n v="0"/>
    <n v="3.5"/>
    <n v="1"/>
    <n v="0"/>
    <n v="0"/>
    <n v="0"/>
    <n v="0"/>
    <n v="0"/>
    <n v="0.5"/>
    <n v="0"/>
    <n v="1"/>
    <n v="0"/>
    <n v="0"/>
    <n v="0"/>
    <n v="0"/>
    <n v="0"/>
    <n v="0"/>
    <n v="0"/>
    <n v="0"/>
    <m/>
    <n v="3.9166666666666665"/>
    <n v="1"/>
    <n v="0"/>
    <n v="0"/>
    <n v="0"/>
    <m/>
    <s v="Toussaint"/>
    <m/>
    <m/>
    <s v="Devesset, sub estram"/>
    <s v="Girandus Girandi de Pulinaco"/>
    <s v="Fratre Johanne Meruli"/>
    <s v="Johanne Barerii"/>
    <s v="Poncio de Chanils"/>
    <m/>
    <m/>
    <m/>
  </r>
  <r>
    <n v="1111"/>
    <s v="Page barée (vaces)"/>
    <s v="Jacobus et Poncius + Johannis, Bertrandi et Girandus + Jacobus"/>
    <s v="Bonihonis + Ayglini + Fayoli del Buic"/>
    <x v="31"/>
    <m/>
    <m/>
    <s v="Jacobus Fayoli nomine Michaele filie Johannis Chanalerii de Gorgoras uxoris sue + Guillermi Chanalerii de Gorgeras condam"/>
    <s v="G"/>
    <n v="1343"/>
    <s v="Juin"/>
    <s v="Die Jonis in festo beatorum Johannis et Pauli apostolorum"/>
    <s v="Raynaud de Fay"/>
    <m/>
    <x v="0"/>
    <m/>
    <m/>
    <m/>
    <m/>
    <m/>
    <m/>
    <m/>
    <x v="4"/>
    <x v="5"/>
    <x v="3"/>
    <x v="2"/>
    <x v="2"/>
    <x v="2"/>
    <x v="2"/>
    <x v="3"/>
    <x v="2"/>
    <x v="2"/>
    <x v="2"/>
    <m/>
    <x v="2"/>
    <x v="1"/>
    <x v="1"/>
    <x v="1"/>
    <x v="1"/>
    <x v="1"/>
    <x v="1"/>
    <x v="3"/>
    <x v="1"/>
    <x v="1"/>
    <x v="1"/>
    <x v="1"/>
    <x v="2"/>
    <x v="1"/>
    <x v="1"/>
    <x v="3"/>
    <x v="1"/>
    <x v="1"/>
    <x v="1"/>
    <x v="1"/>
    <x v="1"/>
    <x v="1"/>
    <x v="1"/>
    <x v="1"/>
    <x v="1"/>
    <x v="1"/>
    <x v="1"/>
    <x v="2"/>
    <x v="1"/>
    <x v="2"/>
    <m/>
    <m/>
    <m/>
    <s v="Divers"/>
    <m/>
    <m/>
    <m/>
    <m/>
    <m/>
    <m/>
    <m/>
    <m/>
    <m/>
    <m/>
    <m/>
    <m/>
    <m/>
    <m/>
    <m/>
    <m/>
    <m/>
    <m/>
    <m/>
    <m/>
    <m/>
    <m/>
    <m/>
    <m/>
    <m/>
    <m/>
    <m/>
    <m/>
    <m/>
    <m/>
    <m/>
    <m/>
    <m/>
    <m/>
    <m/>
    <m/>
    <m/>
    <m/>
    <m/>
    <m/>
    <m/>
    <m/>
    <m/>
  </r>
  <r>
    <n v="1112"/>
    <s v="Page barée (vaces)"/>
    <s v="Jacobus"/>
    <s v="Bonihonis"/>
    <x v="31"/>
    <m/>
    <m/>
    <m/>
    <s v="H"/>
    <n v="1343"/>
    <s v="Juin"/>
    <s v="Die Jonis in festo beatorum Johannis et Pauli apostolorum"/>
    <s v="Raynaud de Fay"/>
    <m/>
    <x v="0"/>
    <m/>
    <m/>
    <m/>
    <m/>
    <m/>
    <m/>
    <m/>
    <x v="0"/>
    <x v="0"/>
    <x v="1"/>
    <x v="0"/>
    <x v="0"/>
    <x v="0"/>
    <x v="0"/>
    <x v="1"/>
    <x v="0"/>
    <x v="0"/>
    <x v="0"/>
    <s v="Non"/>
    <x v="0"/>
    <x v="0"/>
    <x v="0"/>
    <x v="0"/>
    <x v="0"/>
    <x v="0"/>
    <x v="0"/>
    <x v="6"/>
    <x v="0"/>
    <x v="0"/>
    <x v="0"/>
    <x v="0"/>
    <x v="0"/>
    <x v="0"/>
    <x v="0"/>
    <x v="0"/>
    <x v="0"/>
    <x v="0"/>
    <x v="0"/>
    <x v="0"/>
    <x v="0"/>
    <x v="0"/>
    <x v="0"/>
    <x v="0"/>
    <x v="0"/>
    <x v="0"/>
    <x v="0"/>
    <x v="0"/>
    <x v="0"/>
    <x v="0"/>
    <m/>
    <s v="Pratum"/>
    <m/>
    <m/>
    <m/>
    <m/>
    <m/>
    <m/>
    <m/>
    <m/>
    <m/>
    <m/>
    <m/>
    <m/>
    <m/>
    <m/>
    <m/>
    <m/>
    <m/>
    <m/>
    <m/>
    <m/>
    <m/>
    <m/>
    <m/>
    <m/>
    <m/>
    <m/>
    <m/>
    <m/>
    <m/>
    <m/>
    <m/>
    <m/>
    <m/>
    <m/>
    <m/>
    <m/>
    <m/>
    <m/>
    <m/>
    <m/>
    <m/>
    <m/>
    <m/>
    <m/>
    <m/>
  </r>
  <r>
    <n v="1121"/>
    <m/>
    <s v="Jacobus et Poncius + Johannes, Girandis et Bertrandus + Guillermus + Michaela + Peyrononus et Blancha"/>
    <s v="Bonihonis + Ayglini + Giardi + Chanaleira + De Rivo + Diutras"/>
    <x v="31"/>
    <m/>
    <s v="Michaela Chanaleira filia Johanis Chanalerii condam + Peyrononus De Rivo filius Guillermi de Rivo de Gorgoras"/>
    <s v="Nomine Johanne uxoris Anthonii Chanaleira filii + Blancha Duitras nomine Petronille filie sue et filie Johannis Ayglini eius mariti conda + Michaela nomine Laurenti et Martine filiarum Guillermi Chanalem condam"/>
    <s v="G"/>
    <n v="1343"/>
    <s v="Juin"/>
    <n v="29"/>
    <s v="Raynaud de Fay"/>
    <m/>
    <x v="0"/>
    <m/>
    <m/>
    <m/>
    <m/>
    <m/>
    <m/>
    <m/>
    <x v="0"/>
    <x v="0"/>
    <x v="0"/>
    <x v="0"/>
    <x v="0"/>
    <x v="0"/>
    <x v="0"/>
    <x v="1"/>
    <x v="0"/>
    <x v="0"/>
    <x v="0"/>
    <s v="Non"/>
    <x v="0"/>
    <x v="0"/>
    <x v="0"/>
    <x v="0"/>
    <x v="0"/>
    <x v="0"/>
    <x v="0"/>
    <x v="0"/>
    <x v="0"/>
    <x v="0"/>
    <x v="0"/>
    <x v="0"/>
    <x v="4"/>
    <x v="0"/>
    <x v="0"/>
    <x v="0"/>
    <x v="0"/>
    <x v="0"/>
    <x v="0"/>
    <x v="0"/>
    <x v="0"/>
    <x v="0"/>
    <x v="0"/>
    <x v="0"/>
    <x v="0"/>
    <x v="0"/>
    <x v="0"/>
    <x v="0"/>
    <x v="0"/>
    <x v="0"/>
    <m/>
    <s v="2 Tenementum"/>
    <m/>
    <s v="Divers"/>
    <s v="Borzeza"/>
    <n v="0"/>
    <n v="0"/>
    <n v="0"/>
    <n v="0"/>
    <n v="0"/>
    <n v="0"/>
    <n v="6"/>
    <n v="0"/>
    <n v="0"/>
    <n v="0"/>
    <n v="0"/>
    <n v="0"/>
    <n v="0"/>
    <n v="6"/>
    <n v="0"/>
    <n v="0"/>
    <n v="0"/>
    <n v="0"/>
    <n v="0"/>
    <n v="0"/>
    <n v="0"/>
    <n v="0"/>
    <n v="0"/>
    <n v="0"/>
    <m/>
    <n v="3.5"/>
    <n v="0"/>
    <n v="0"/>
    <n v="0"/>
    <n v="0"/>
    <m/>
    <s v="Toussaint"/>
    <s v="De omnimoda juridictione"/>
    <s v="Castri Devesseti"/>
    <s v="Saint-Romain, in carrerra juxta Synnuterium"/>
    <s v="Girandus Girandi de Pulinaco"/>
    <s v="Fratre Guillermo de Ruppe curato ecclesie Sancti Romani"/>
    <s v="Jacobo de la Chareyra diutros"/>
    <s v="Johanne filio Jacobi de Marcis parrochie Sancti Romani"/>
    <m/>
    <m/>
    <s v="In compositione inter domus Devesseti et Guillermi de Romigeriis domicelli"/>
  </r>
  <r>
    <n v="1122"/>
    <m/>
    <s v="Blancha"/>
    <s v="Diutras"/>
    <x v="31"/>
    <m/>
    <m/>
    <s v="Pro filia sua"/>
    <s v="F"/>
    <n v="1343"/>
    <s v="Juin"/>
    <n v="29"/>
    <s v="Raynaud de Fay"/>
    <m/>
    <x v="0"/>
    <m/>
    <m/>
    <m/>
    <m/>
    <m/>
    <m/>
    <m/>
    <x v="4"/>
    <x v="5"/>
    <x v="3"/>
    <x v="2"/>
    <x v="2"/>
    <x v="2"/>
    <x v="2"/>
    <x v="3"/>
    <x v="2"/>
    <x v="2"/>
    <x v="2"/>
    <m/>
    <x v="2"/>
    <x v="1"/>
    <x v="1"/>
    <x v="1"/>
    <x v="1"/>
    <x v="1"/>
    <x v="1"/>
    <x v="3"/>
    <x v="1"/>
    <x v="1"/>
    <x v="1"/>
    <x v="1"/>
    <x v="2"/>
    <x v="1"/>
    <x v="1"/>
    <x v="3"/>
    <x v="1"/>
    <x v="1"/>
    <x v="1"/>
    <x v="1"/>
    <x v="1"/>
    <x v="1"/>
    <x v="1"/>
    <x v="1"/>
    <x v="1"/>
    <x v="1"/>
    <x v="1"/>
    <x v="2"/>
    <x v="1"/>
    <x v="2"/>
    <m/>
    <m/>
    <m/>
    <s v="Fille"/>
    <s v="Pas mesure indiquée, mais probablement Borzezam"/>
    <n v="0"/>
    <n v="0"/>
    <n v="0"/>
    <n v="0"/>
    <n v="0"/>
    <n v="0"/>
    <n v="0.16666666666666666"/>
    <n v="0"/>
    <n v="0"/>
    <n v="0"/>
    <n v="0"/>
    <n v="0"/>
    <n v="0"/>
    <n v="0.16666666666666666"/>
    <n v="0"/>
    <n v="0"/>
    <n v="0"/>
    <n v="0"/>
    <n v="0"/>
    <n v="0"/>
    <n v="0"/>
    <n v="0"/>
    <n v="0"/>
    <n v="0"/>
    <m/>
    <n v="8.3333333333333329E-2"/>
    <n v="0"/>
    <n v="0"/>
    <n v="0.5"/>
    <n v="0"/>
    <m/>
    <m/>
    <m/>
    <m/>
    <m/>
    <m/>
    <m/>
    <m/>
    <m/>
    <m/>
    <m/>
    <m/>
  </r>
  <r>
    <n v="1123"/>
    <m/>
    <s v="Peyrononus"/>
    <s v="De Rivo"/>
    <x v="31"/>
    <m/>
    <m/>
    <m/>
    <s v="H"/>
    <n v="1343"/>
    <s v="Juin"/>
    <n v="29"/>
    <s v="Raynaud de Fay"/>
    <m/>
    <x v="0"/>
    <m/>
    <m/>
    <m/>
    <m/>
    <m/>
    <m/>
    <m/>
    <x v="0"/>
    <x v="0"/>
    <x v="1"/>
    <x v="0"/>
    <x v="0"/>
    <x v="0"/>
    <x v="0"/>
    <x v="1"/>
    <x v="0"/>
    <x v="0"/>
    <x v="0"/>
    <s v="Non"/>
    <x v="0"/>
    <x v="0"/>
    <x v="0"/>
    <x v="0"/>
    <x v="0"/>
    <x v="0"/>
    <x v="0"/>
    <x v="0"/>
    <x v="0"/>
    <x v="0"/>
    <x v="0"/>
    <x v="0"/>
    <x v="0"/>
    <x v="0"/>
    <x v="0"/>
    <x v="0"/>
    <x v="0"/>
    <x v="0"/>
    <x v="0"/>
    <x v="0"/>
    <x v="0"/>
    <x v="0"/>
    <x v="0"/>
    <x v="0"/>
    <x v="0"/>
    <x v="0"/>
    <x v="0"/>
    <x v="0"/>
    <x v="0"/>
    <x v="0"/>
    <m/>
    <s v="Prato"/>
    <m/>
    <m/>
    <m/>
    <n v="0"/>
    <n v="0"/>
    <n v="0"/>
    <n v="0"/>
    <n v="0"/>
    <n v="0"/>
    <n v="0"/>
    <n v="0"/>
    <n v="0"/>
    <n v="0"/>
    <n v="0"/>
    <n v="0"/>
    <n v="0"/>
    <n v="0"/>
    <n v="0"/>
    <n v="0"/>
    <n v="0"/>
    <n v="0"/>
    <n v="0"/>
    <n v="0"/>
    <n v="0"/>
    <n v="0"/>
    <n v="0"/>
    <n v="0"/>
    <s v="Prato"/>
    <n v="0.5"/>
    <n v="0"/>
    <n v="0"/>
    <n v="0"/>
    <n v="0"/>
    <m/>
    <m/>
    <m/>
    <m/>
    <m/>
    <m/>
    <m/>
    <m/>
    <m/>
    <m/>
    <m/>
    <m/>
  </r>
  <r>
    <n v="1124"/>
    <m/>
    <s v="Jacobus"/>
    <s v="Bonihonis"/>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1.1666666666666665"/>
    <n v="0"/>
    <n v="0"/>
    <n v="0"/>
    <n v="0"/>
    <n v="0"/>
    <n v="0"/>
    <n v="1.1666666666666665"/>
    <n v="0"/>
    <n v="0"/>
    <n v="0"/>
    <n v="0"/>
    <n v="0"/>
    <n v="0"/>
    <n v="0"/>
    <n v="0"/>
    <n v="0"/>
    <n v="0"/>
    <s v="Pro uxor eius filii"/>
    <n v="0.66666666666666674"/>
    <n v="0"/>
    <n v="0"/>
    <n v="1.5"/>
    <n v="0"/>
    <m/>
    <m/>
    <m/>
    <m/>
    <m/>
    <m/>
    <m/>
    <m/>
    <m/>
    <m/>
    <m/>
    <m/>
  </r>
  <r>
    <n v="1125"/>
    <m/>
    <s v="Poncius"/>
    <s v="Bonihonis"/>
    <x v="31"/>
    <m/>
    <m/>
    <s v="Pro Johanna uxor filii sui"/>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s v="Bru"/>
    <s v="Pas mesure indiquée, mais probablement Borzezam"/>
    <n v="0"/>
    <n v="0"/>
    <n v="0"/>
    <n v="0"/>
    <n v="0"/>
    <n v="0"/>
    <n v="0.66666666666666663"/>
    <n v="0"/>
    <n v="0"/>
    <n v="0"/>
    <n v="0"/>
    <n v="0"/>
    <n v="0"/>
    <n v="0.66666666666666663"/>
    <n v="0"/>
    <n v="0"/>
    <n v="0"/>
    <n v="0"/>
    <n v="0"/>
    <n v="0"/>
    <n v="0"/>
    <n v="0"/>
    <n v="0"/>
    <n v="0"/>
    <m/>
    <n v="0.41666666666666669"/>
    <n v="0"/>
    <n v="0"/>
    <n v="0"/>
    <n v="0"/>
    <m/>
    <m/>
    <m/>
    <m/>
    <m/>
    <m/>
    <m/>
    <m/>
    <m/>
    <m/>
    <m/>
    <m/>
  </r>
  <r>
    <n v="1126"/>
    <m/>
    <s v="Johannes"/>
    <s v="Ayglini"/>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1"/>
    <n v="0"/>
    <n v="0"/>
    <n v="0"/>
    <n v="0"/>
    <n v="0"/>
    <n v="0"/>
    <n v="1"/>
    <n v="0"/>
    <n v="0"/>
    <n v="0"/>
    <n v="0"/>
    <n v="0"/>
    <n v="0"/>
    <n v="0"/>
    <n v="0"/>
    <n v="0"/>
    <n v="0"/>
    <m/>
    <n v="0.5"/>
    <n v="1"/>
    <n v="0"/>
    <n v="1"/>
    <n v="0"/>
    <m/>
    <m/>
    <m/>
    <m/>
    <m/>
    <m/>
    <m/>
    <m/>
    <m/>
    <m/>
    <m/>
    <m/>
  </r>
  <r>
    <n v="1127"/>
    <m/>
    <s v="Guillermus"/>
    <s v="Girardi"/>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8.3333333333333329E-2"/>
    <n v="1"/>
    <n v="0"/>
    <n v="0"/>
    <n v="0"/>
    <n v="0"/>
    <n v="0"/>
    <n v="8.3333333333333329E-2"/>
    <n v="1"/>
    <n v="0"/>
    <n v="0"/>
    <n v="0"/>
    <n v="0"/>
    <n v="0"/>
    <n v="0"/>
    <n v="0"/>
    <n v="0"/>
    <n v="0"/>
    <m/>
    <n v="0.16666666666666666"/>
    <n v="1"/>
    <n v="0"/>
    <n v="0"/>
    <n v="0"/>
    <m/>
    <m/>
    <m/>
    <m/>
    <m/>
    <m/>
    <m/>
    <m/>
    <m/>
    <m/>
    <m/>
    <m/>
  </r>
  <r>
    <n v="1131"/>
    <m/>
    <s v="Girandis"/>
    <s v="Ayglini"/>
    <x v="31"/>
    <m/>
    <m/>
    <m/>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m/>
    <s v="Pas mesure indiquée, mais probablement Borzezam"/>
    <n v="0"/>
    <n v="0"/>
    <n v="0"/>
    <n v="0"/>
    <n v="0"/>
    <n v="0"/>
    <n v="0.16666666666666666"/>
    <n v="0"/>
    <n v="0"/>
    <n v="0"/>
    <n v="0"/>
    <n v="0"/>
    <n v="0"/>
    <n v="0.16666666666666666"/>
    <n v="0"/>
    <n v="0"/>
    <n v="0"/>
    <n v="0"/>
    <n v="0"/>
    <n v="0"/>
    <n v="0"/>
    <n v="0"/>
    <n v="0"/>
    <n v="0"/>
    <m/>
    <n v="8.3333333333333329E-2"/>
    <n v="0"/>
    <n v="0"/>
    <n v="1"/>
    <n v="0"/>
    <m/>
    <m/>
    <m/>
    <m/>
    <m/>
    <m/>
    <m/>
    <m/>
    <m/>
    <m/>
    <m/>
    <m/>
  </r>
  <r>
    <n v="1132"/>
    <m/>
    <s v="Bertrandus"/>
    <s v="Ayglini"/>
    <x v="31"/>
    <m/>
    <m/>
    <s v="Pro Anthonina eius uxor"/>
    <s v="H"/>
    <n v="1343"/>
    <s v="Juin"/>
    <n v="29"/>
    <s v="Raynaud de Fay"/>
    <m/>
    <x v="0"/>
    <m/>
    <m/>
    <m/>
    <m/>
    <m/>
    <m/>
    <m/>
    <x v="4"/>
    <x v="5"/>
    <x v="3"/>
    <x v="2"/>
    <x v="2"/>
    <x v="2"/>
    <x v="2"/>
    <x v="3"/>
    <x v="2"/>
    <x v="2"/>
    <x v="2"/>
    <m/>
    <x v="2"/>
    <x v="1"/>
    <x v="1"/>
    <x v="1"/>
    <x v="1"/>
    <x v="1"/>
    <x v="1"/>
    <x v="3"/>
    <x v="1"/>
    <x v="1"/>
    <x v="1"/>
    <x v="1"/>
    <x v="2"/>
    <x v="1"/>
    <x v="1"/>
    <x v="3"/>
    <x v="1"/>
    <x v="1"/>
    <x v="1"/>
    <x v="1"/>
    <x v="1"/>
    <x v="1"/>
    <x v="1"/>
    <x v="1"/>
    <x v="1"/>
    <x v="1"/>
    <x v="1"/>
    <x v="2"/>
    <x v="1"/>
    <x v="2"/>
    <m/>
    <m/>
    <m/>
    <s v="Sœur"/>
    <s v="Pas mesure indiquée, mais probablement Borzezam"/>
    <n v="0"/>
    <n v="0"/>
    <n v="0"/>
    <n v="0"/>
    <n v="0"/>
    <n v="0"/>
    <n v="0.5"/>
    <n v="0"/>
    <n v="0"/>
    <n v="0"/>
    <n v="0"/>
    <n v="0"/>
    <n v="0"/>
    <n v="0.5"/>
    <n v="0"/>
    <n v="0"/>
    <n v="0"/>
    <n v="0"/>
    <n v="0"/>
    <n v="0"/>
    <n v="0"/>
    <n v="0"/>
    <n v="0"/>
    <n v="0"/>
    <m/>
    <n v="0.25"/>
    <n v="1"/>
    <n v="0"/>
    <n v="0.5"/>
    <n v="0"/>
    <m/>
    <m/>
    <m/>
    <m/>
    <m/>
    <m/>
    <m/>
    <m/>
    <m/>
    <m/>
    <m/>
    <m/>
  </r>
  <r>
    <n v="1133"/>
    <m/>
    <s v="Michaela"/>
    <s v="Chanaleira"/>
    <x v="31"/>
    <m/>
    <m/>
    <s v="Pro consanguineris suis"/>
    <s v="F"/>
    <n v="1343"/>
    <s v="Juin"/>
    <n v="29"/>
    <s v="Raynaud de Fay"/>
    <m/>
    <x v="0"/>
    <m/>
    <m/>
    <m/>
    <m/>
    <m/>
    <m/>
    <m/>
    <x v="4"/>
    <x v="5"/>
    <x v="3"/>
    <x v="2"/>
    <x v="2"/>
    <x v="2"/>
    <x v="2"/>
    <x v="3"/>
    <x v="2"/>
    <x v="2"/>
    <x v="2"/>
    <m/>
    <x v="2"/>
    <x v="1"/>
    <x v="1"/>
    <x v="1"/>
    <x v="1"/>
    <x v="1"/>
    <x v="1"/>
    <x v="3"/>
    <x v="1"/>
    <x v="1"/>
    <x v="1"/>
    <x v="1"/>
    <x v="2"/>
    <x v="1"/>
    <x v="1"/>
    <x v="3"/>
    <x v="1"/>
    <x v="1"/>
    <x v="1"/>
    <x v="1"/>
    <x v="1"/>
    <x v="1"/>
    <x v="1"/>
    <x v="1"/>
    <x v="1"/>
    <x v="1"/>
    <x v="1"/>
    <x v="2"/>
    <x v="1"/>
    <x v="2"/>
    <m/>
    <m/>
    <m/>
    <s v="Sa famille"/>
    <s v="Pas mesure indiquée, mais probablement Borzezam"/>
    <n v="0"/>
    <n v="0"/>
    <n v="0"/>
    <n v="0"/>
    <n v="0"/>
    <n v="0"/>
    <n v="2"/>
    <n v="0"/>
    <n v="0"/>
    <n v="0"/>
    <n v="0"/>
    <n v="0"/>
    <n v="0"/>
    <n v="2"/>
    <n v="0"/>
    <n v="0"/>
    <n v="0"/>
    <n v="0"/>
    <n v="0"/>
    <n v="0"/>
    <n v="0"/>
    <n v="0"/>
    <n v="0"/>
    <n v="0"/>
    <m/>
    <n v="0.66666666666666663"/>
    <n v="2"/>
    <n v="0"/>
    <n v="2"/>
    <n v="0"/>
    <m/>
    <m/>
    <m/>
    <m/>
    <m/>
    <m/>
    <m/>
    <m/>
    <m/>
    <m/>
    <m/>
    <m/>
  </r>
  <r>
    <n v="1611"/>
    <m/>
    <s v="Petrus"/>
    <s v="Martini"/>
    <x v="32"/>
    <m/>
    <m/>
    <m/>
    <s v="H"/>
    <n v="1343"/>
    <s v="Avril"/>
    <n v="4"/>
    <s v="Raynaud de Fay"/>
    <s v="Promisit esse fidelis castro Devesseti"/>
    <x v="0"/>
    <m/>
    <m/>
    <m/>
    <m/>
    <m/>
    <m/>
    <s v="Constractus emphiteotarii"/>
    <x v="0"/>
    <x v="0"/>
    <x v="2"/>
    <x v="0"/>
    <x v="0"/>
    <x v="0"/>
    <x v="5"/>
    <x v="4"/>
    <x v="0"/>
    <x v="0"/>
    <x v="0"/>
    <s v="Non"/>
    <x v="0"/>
    <x v="0"/>
    <x v="0"/>
    <x v="0"/>
    <x v="0"/>
    <x v="0"/>
    <x v="0"/>
    <x v="0"/>
    <x v="0"/>
    <x v="0"/>
    <x v="0"/>
    <x v="0"/>
    <x v="0"/>
    <x v="0"/>
    <x v="0"/>
    <x v="0"/>
    <x v="0"/>
    <x v="0"/>
    <x v="0"/>
    <x v="0"/>
    <x v="0"/>
    <x v="0"/>
    <x v="0"/>
    <x v="0"/>
    <x v="0"/>
    <x v="0"/>
    <x v="0"/>
    <x v="0"/>
    <x v="0"/>
    <x v="0"/>
    <m/>
    <s v="2 medietate petie terre + terra + 2 pasturale + medietate prati + medietate faycie + jus prati"/>
    <m/>
    <m/>
    <s v="Devesset"/>
    <n v="0"/>
    <n v="0"/>
    <n v="0"/>
    <n v="0"/>
    <n v="0"/>
    <n v="0"/>
    <n v="1.5"/>
    <n v="0.5"/>
    <n v="0"/>
    <n v="0"/>
    <n v="0"/>
    <n v="0"/>
    <n v="0"/>
    <n v="0.5"/>
    <n v="0.5"/>
    <n v="0"/>
    <n v="0"/>
    <n v="0"/>
    <n v="0"/>
    <n v="0"/>
    <n v="0"/>
    <n v="0"/>
    <n v="0"/>
    <n v="0"/>
    <m/>
    <n v="1.75"/>
    <n v="0"/>
    <n v="0"/>
    <n v="1"/>
    <n v="0"/>
    <s v="Censu et talha + 2 nemus + prata"/>
    <s v="Toussaint"/>
    <s v="Mero et mixto imperio"/>
    <s v="De mandamento et infra mandamento et de juridictione castri Devesset"/>
    <s v="Devesset, in turre supra portam"/>
    <s v="Girandus Girandi de Pulinaco"/>
    <s v="Petro de Ruela"/>
    <s v="Johanne de Ruela"/>
    <m/>
    <m/>
    <m/>
    <m/>
  </r>
  <r>
    <n v="1621"/>
    <m/>
    <s v="Ariberius + Petrus"/>
    <s v="De Hereone + Bunents de Hereone"/>
    <x v="32"/>
    <m/>
    <s v="Filius Poncii de Hereone"/>
    <m/>
    <s v="G"/>
    <n v="1343"/>
    <s v="Avril"/>
    <n v="4"/>
    <s v="Raynaud de Fay"/>
    <s v="Promisit esse fidelis castro Devesseti"/>
    <x v="0"/>
    <m/>
    <m/>
    <m/>
    <m/>
    <m/>
    <m/>
    <s v="Constractus emphiteotarii"/>
    <x v="0"/>
    <x v="0"/>
    <x v="10"/>
    <x v="0"/>
    <x v="1"/>
    <x v="0"/>
    <x v="4"/>
    <x v="1"/>
    <x v="0"/>
    <x v="0"/>
    <x v="0"/>
    <s v="Non"/>
    <x v="0"/>
    <x v="0"/>
    <x v="0"/>
    <x v="0"/>
    <x v="0"/>
    <x v="0"/>
    <x v="0"/>
    <x v="0"/>
    <x v="0"/>
    <x v="0"/>
    <x v="0"/>
    <x v="0"/>
    <x v="0"/>
    <x v="0"/>
    <x v="0"/>
    <x v="0"/>
    <x v="0"/>
    <x v="0"/>
    <x v="0"/>
    <x v="0"/>
    <x v="0"/>
    <x v="0"/>
    <x v="0"/>
    <x v="0"/>
    <x v="0"/>
    <x v="0"/>
    <x v="0"/>
    <x v="0"/>
    <x v="0"/>
    <x v="0"/>
    <m/>
    <s v="Partem nemus + pasturale + medietatem prati"/>
    <m/>
    <m/>
    <m/>
    <n v="0"/>
    <n v="0"/>
    <n v="0"/>
    <n v="0"/>
    <n v="0"/>
    <n v="0"/>
    <n v="0"/>
    <n v="0"/>
    <n v="0"/>
    <n v="0"/>
    <n v="0"/>
    <n v="0"/>
    <n v="0"/>
    <n v="0"/>
    <n v="0"/>
    <n v="0"/>
    <n v="0"/>
    <n v="0"/>
    <n v="0"/>
    <n v="0"/>
    <n v="0"/>
    <n v="0"/>
    <n v="0"/>
    <n v="0"/>
    <m/>
    <n v="0.83333333333333337"/>
    <n v="0"/>
    <n v="0"/>
    <n v="0"/>
    <n v="0"/>
    <s v="Censu et talha"/>
    <s v="Toussaint"/>
    <s v="Mero et mixto imperio"/>
    <s v="De mandamento et infra mandamento et de juridictione omnimoda castri Devesset"/>
    <s v="Devesset, in turre supra portam"/>
    <s v="Girandus Girandi de Pulinaco"/>
    <s v="Petro de Ruela"/>
    <s v="Johanne de Ruela"/>
    <m/>
    <m/>
    <m/>
    <m/>
  </r>
  <r>
    <n v="1622"/>
    <m/>
    <s v="Petrus"/>
    <s v="Brunents"/>
    <x v="32"/>
    <m/>
    <m/>
    <m/>
    <s v="H"/>
    <n v="1343"/>
    <s v="Avril"/>
    <n v="4"/>
    <s v="Raynaud de Fay"/>
    <m/>
    <x v="0"/>
    <m/>
    <m/>
    <m/>
    <m/>
    <m/>
    <m/>
    <s v="Constractus emphiteotarii"/>
    <x v="0"/>
    <x v="0"/>
    <x v="0"/>
    <x v="0"/>
    <x v="0"/>
    <x v="0"/>
    <x v="0"/>
    <x v="4"/>
    <x v="0"/>
    <x v="0"/>
    <x v="0"/>
    <s v="Non"/>
    <x v="0"/>
    <x v="0"/>
    <x v="0"/>
    <x v="0"/>
    <x v="0"/>
    <x v="0"/>
    <x v="0"/>
    <x v="2"/>
    <x v="0"/>
    <x v="0"/>
    <x v="0"/>
    <x v="0"/>
    <x v="0"/>
    <x v="0"/>
    <x v="0"/>
    <x v="0"/>
    <x v="0"/>
    <x v="0"/>
    <x v="0"/>
    <x v="0"/>
    <x v="0"/>
    <x v="0"/>
    <x v="0"/>
    <x v="0"/>
    <x v="0"/>
    <x v="0"/>
    <x v="0"/>
    <x v="0"/>
    <x v="0"/>
    <x v="0"/>
    <m/>
    <s v="Terre petiam + petiam"/>
    <m/>
    <m/>
    <m/>
    <n v="0"/>
    <n v="0"/>
    <n v="0"/>
    <n v="0"/>
    <n v="0"/>
    <n v="0"/>
    <n v="0"/>
    <n v="0"/>
    <n v="0"/>
    <n v="0"/>
    <n v="0"/>
    <n v="0"/>
    <n v="0"/>
    <n v="0"/>
    <n v="0"/>
    <n v="0"/>
    <n v="0"/>
    <n v="0"/>
    <n v="0"/>
    <n v="0"/>
    <n v="0"/>
    <n v="0"/>
    <n v="0"/>
    <n v="0"/>
    <m/>
    <n v="0.41666666666666669"/>
    <n v="0"/>
    <n v="0"/>
    <n v="0"/>
    <n v="0"/>
    <m/>
    <s v="Toussaint"/>
    <m/>
    <s v="De juridictione omnimoda et de mandamento castri Devesseti"/>
    <s v="Devesset, in turre supra portam"/>
    <s v="Girandus Girandi de Pulinaco"/>
    <s v="Petro de Ruela"/>
    <s v="Johanne de Ruela"/>
    <m/>
    <m/>
    <m/>
    <m/>
  </r>
  <r>
    <n v="1623"/>
    <m/>
    <s v="Ariberius"/>
    <s v="De Hereone"/>
    <x v="32"/>
    <m/>
    <m/>
    <m/>
    <s v="H"/>
    <n v="1343"/>
    <s v="Avril"/>
    <n v="4"/>
    <s v="Raynaud de Fay"/>
    <s v="Promisit esse fidelis domui Devesseti"/>
    <x v="0"/>
    <m/>
    <m/>
    <m/>
    <m/>
    <m/>
    <m/>
    <m/>
    <x v="0"/>
    <x v="0"/>
    <x v="0"/>
    <x v="0"/>
    <x v="0"/>
    <x v="0"/>
    <x v="0"/>
    <x v="4"/>
    <x v="0"/>
    <x v="0"/>
    <x v="0"/>
    <s v="Non"/>
    <x v="0"/>
    <x v="0"/>
    <x v="0"/>
    <x v="0"/>
    <x v="0"/>
    <x v="0"/>
    <x v="0"/>
    <x v="0"/>
    <x v="0"/>
    <x v="0"/>
    <x v="0"/>
    <x v="0"/>
    <x v="0"/>
    <x v="0"/>
    <x v="0"/>
    <x v="0"/>
    <x v="0"/>
    <x v="0"/>
    <x v="0"/>
    <x v="0"/>
    <x v="0"/>
    <x v="0"/>
    <x v="0"/>
    <x v="0"/>
    <x v="0"/>
    <x v="0"/>
    <x v="0"/>
    <x v="0"/>
    <x v="0"/>
    <x v="0"/>
    <m/>
    <s v="Terre petiam"/>
    <m/>
    <m/>
    <m/>
    <n v="0"/>
    <n v="0"/>
    <n v="0"/>
    <n v="0"/>
    <n v="0"/>
    <n v="0"/>
    <n v="0"/>
    <n v="0"/>
    <n v="0"/>
    <n v="0"/>
    <n v="0"/>
    <n v="0"/>
    <n v="0"/>
    <n v="0"/>
    <n v="0"/>
    <n v="0"/>
    <n v="0"/>
    <n v="0"/>
    <n v="0"/>
    <n v="0"/>
    <n v="0"/>
    <n v="0"/>
    <n v="0"/>
    <n v="0"/>
    <m/>
    <n v="0.16666666666666666"/>
    <n v="0"/>
    <n v="0"/>
    <n v="0"/>
    <n v="0"/>
    <m/>
    <s v="Toussaint"/>
    <m/>
    <m/>
    <s v="Devesset, in turre supra portam"/>
    <s v="Girandus Girandi de Pulinaco"/>
    <s v="Petro de Ruela"/>
    <s v="Johanne de Ruela"/>
    <m/>
    <m/>
    <m/>
    <m/>
  </r>
  <r>
    <n v="1813"/>
    <m/>
    <s v="Stephanis"/>
    <s v="Brunet"/>
    <x v="32"/>
    <m/>
    <s v="Filius Johannis Brunet al' Ariberii de Hereone"/>
    <s v="Nomine Petri eius fratis"/>
    <s v="H"/>
    <n v="1343"/>
    <s v="Janvier"/>
    <n v="13"/>
    <s v="Raynaud de Fay"/>
    <s v="Promisit esse fidelis tenementarius domus Devesseti"/>
    <x v="0"/>
    <m/>
    <m/>
    <m/>
    <m/>
    <m/>
    <m/>
    <s v="Constractus emphiteotarii"/>
    <x v="0"/>
    <x v="0"/>
    <x v="2"/>
    <x v="0"/>
    <x v="1"/>
    <x v="0"/>
    <x v="0"/>
    <x v="1"/>
    <x v="0"/>
    <x v="0"/>
    <x v="0"/>
    <s v="Non"/>
    <x v="0"/>
    <x v="0"/>
    <x v="0"/>
    <x v="0"/>
    <x v="0"/>
    <x v="0"/>
    <x v="0"/>
    <x v="0"/>
    <x v="0"/>
    <x v="0"/>
    <x v="0"/>
    <x v="0"/>
    <x v="0"/>
    <x v="0"/>
    <x v="0"/>
    <x v="0"/>
    <x v="0"/>
    <x v="0"/>
    <x v="0"/>
    <x v="0"/>
    <x v="0"/>
    <x v="0"/>
    <x v="0"/>
    <x v="0"/>
    <x v="0"/>
    <x v="0"/>
    <x v="0"/>
    <x v="0"/>
    <x v="0"/>
    <x v="0"/>
    <m/>
    <s v="Pertem nemore + patem prati"/>
    <m/>
    <s v="Frère"/>
    <m/>
    <n v="0"/>
    <n v="0"/>
    <n v="0"/>
    <n v="0"/>
    <n v="0"/>
    <n v="0"/>
    <n v="0"/>
    <n v="0"/>
    <n v="0"/>
    <n v="0"/>
    <n v="0"/>
    <n v="0"/>
    <n v="0"/>
    <n v="0"/>
    <n v="0"/>
    <n v="0"/>
    <n v="0"/>
    <n v="0"/>
    <n v="0"/>
    <n v="0"/>
    <n v="0"/>
    <n v="0"/>
    <n v="0"/>
    <n v="0"/>
    <s v="Partem prati + partem nemore"/>
    <n v="0.5"/>
    <n v="0"/>
    <n v="0"/>
    <n v="0"/>
    <n v="0"/>
    <m/>
    <s v="Toussaint"/>
    <m/>
    <m/>
    <s v="Devesset, in turre supra portam"/>
    <s v="Girandus Girandi de Pulinaco"/>
    <s v="Guillermo Elie Militi"/>
    <s v="Johanne Meruli Hospitalis"/>
    <s v="Peyruchono del Tremole"/>
    <m/>
    <m/>
    <m/>
  </r>
  <r>
    <n v="331"/>
    <m/>
    <s v="Girandus et Martinus"/>
    <s v="De la Boscha"/>
    <x v="33"/>
    <m/>
    <m/>
    <m/>
    <s v="G"/>
    <n v="1343"/>
    <s v="Avril"/>
    <n v="2"/>
    <s v="Raynaud de Fay"/>
    <s v="Homo-licgius, justitabilis et expletabilis"/>
    <x v="1"/>
    <s v="Non"/>
    <s v="Oui"/>
    <s v="Oui"/>
    <s v="Oui"/>
    <s v="Non"/>
    <s v="Avec bœufs"/>
    <s v="Contractus emphiteotitarii"/>
    <x v="2"/>
    <x v="2"/>
    <x v="2"/>
    <x v="1"/>
    <x v="1"/>
    <x v="1"/>
    <x v="1"/>
    <x v="1"/>
    <x v="1"/>
    <x v="1"/>
    <x v="3"/>
    <s v="Non"/>
    <x v="0"/>
    <x v="0"/>
    <x v="3"/>
    <x v="0"/>
    <x v="0"/>
    <x v="0"/>
    <x v="0"/>
    <x v="0"/>
    <x v="0"/>
    <x v="0"/>
    <x v="0"/>
    <x v="0"/>
    <x v="0"/>
    <x v="0"/>
    <x v="0"/>
    <x v="0"/>
    <x v="0"/>
    <x v="0"/>
    <x v="0"/>
    <x v="0"/>
    <x v="0"/>
    <x v="0"/>
    <x v="0"/>
    <x v="0"/>
    <x v="0"/>
    <x v="0"/>
    <x v="0"/>
    <x v="0"/>
    <x v="0"/>
    <x v="0"/>
    <m/>
    <s v="Assensamento del Rochaynli et de Las Chalmassas"/>
    <s v="La Boscha"/>
    <m/>
    <s v="Tence"/>
    <n v="2"/>
    <n v="0"/>
    <n v="0"/>
    <n v="0"/>
    <n v="1"/>
    <n v="0"/>
    <n v="1"/>
    <n v="0"/>
    <n v="0"/>
    <n v="0"/>
    <n v="0"/>
    <n v="0"/>
    <n v="1"/>
    <n v="0"/>
    <n v="0"/>
    <n v="0"/>
    <n v="0"/>
    <n v="0"/>
    <n v="0"/>
    <n v="0"/>
    <n v="0"/>
    <n v="0"/>
    <n v="0"/>
    <n v="0"/>
    <s v="Baylliagio"/>
    <n v="10"/>
    <n v="0"/>
    <n v="0"/>
    <n v="0"/>
    <n v="0"/>
    <s v="Censu et talha"/>
    <s v="Toussaint"/>
    <s v="Merum et mixtum imperium "/>
    <s v="Mandemento et infra mandamentum juridictione loci et castri de Chalmariais"/>
    <s v="Devesset, in turre supra portam"/>
    <s v="Girandus Girandi de Pulinaco"/>
    <s v="Fratre Johane Munbi"/>
    <s v="Matheo Bergii de la Boscha"/>
    <m/>
    <m/>
    <m/>
    <m/>
  </r>
  <r>
    <n v="341"/>
    <s v="Page barrée et pas finie (vacat)"/>
    <s v="Matheus"/>
    <s v="Lo Bergeris"/>
    <x v="33"/>
    <m/>
    <m/>
    <m/>
    <s v="H"/>
    <n v="1343"/>
    <s v="Avril"/>
    <n v="2"/>
    <s v="Raynaud de Fay"/>
    <s v="Homo-licgius, justitabilis et expletabilis"/>
    <x v="4"/>
    <s v="Non"/>
    <s v="Oui"/>
    <s v="Oui"/>
    <s v="Oui"/>
    <s v="Non"/>
    <s v="Avec bœufs et animaux"/>
    <s v="Contractus emphiteotitarii"/>
    <x v="3"/>
    <x v="4"/>
    <x v="2"/>
    <x v="1"/>
    <x v="1"/>
    <x v="1"/>
    <x v="1"/>
    <x v="1"/>
    <x v="0"/>
    <x v="0"/>
    <x v="0"/>
    <s v="Oui"/>
    <x v="0"/>
    <x v="0"/>
    <x v="0"/>
    <x v="2"/>
    <x v="0"/>
    <x v="0"/>
    <x v="0"/>
    <x v="0"/>
    <x v="0"/>
    <x v="0"/>
    <x v="0"/>
    <x v="0"/>
    <x v="0"/>
    <x v="0"/>
    <x v="0"/>
    <x v="0"/>
    <x v="0"/>
    <x v="0"/>
    <x v="0"/>
    <x v="0"/>
    <x v="0"/>
    <x v="0"/>
    <x v="0"/>
    <x v="0"/>
    <x v="0"/>
    <x v="0"/>
    <x v="0"/>
    <x v="0"/>
    <x v="0"/>
    <x v="1"/>
    <m/>
    <s v="Domum + possessiones"/>
    <m/>
    <s v="Femme"/>
    <s v="Tence"/>
    <n v="0.5"/>
    <n v="0"/>
    <n v="0"/>
    <n v="0"/>
    <n v="0"/>
    <n v="0"/>
    <n v="1.8333333333333333"/>
    <n v="0"/>
    <n v="0"/>
    <n v="0"/>
    <n v="0"/>
    <n v="0"/>
    <n v="0"/>
    <n v="0"/>
    <n v="0"/>
    <n v="0"/>
    <n v="0"/>
    <n v="0"/>
    <n v="0"/>
    <n v="0"/>
    <n v="0"/>
    <n v="0"/>
    <n v="0"/>
    <n v="0"/>
    <s v="Baylliagio"/>
    <m/>
    <m/>
    <m/>
    <n v="0"/>
    <n v="0"/>
    <m/>
    <m/>
    <m/>
    <m/>
    <m/>
    <s v="Girandus Girandi de Pulinaco"/>
    <m/>
    <m/>
    <m/>
    <m/>
    <m/>
    <m/>
  </r>
  <r>
    <n v="1411"/>
    <m/>
    <s v="Guillermus"/>
    <s v="Beals"/>
    <x v="34"/>
    <m/>
    <m/>
    <m/>
    <s v="H"/>
    <n v="1342"/>
    <s v="Février"/>
    <n v="12"/>
    <s v="Raynaud de Fay"/>
    <s v="Homo-licgius, justitabilis et expletabilis"/>
    <x v="0"/>
    <s v="Non"/>
    <s v="Oui"/>
    <s v="Oui"/>
    <s v="Oui"/>
    <s v="Non"/>
    <s v="Avec bœufs et animaux"/>
    <m/>
    <x v="2"/>
    <x v="2"/>
    <x v="2"/>
    <x v="1"/>
    <x v="3"/>
    <x v="0"/>
    <x v="1"/>
    <x v="1"/>
    <x v="0"/>
    <x v="0"/>
    <x v="0"/>
    <s v="Oui"/>
    <x v="3"/>
    <x v="0"/>
    <x v="0"/>
    <x v="0"/>
    <x v="0"/>
    <x v="0"/>
    <x v="0"/>
    <x v="0"/>
    <x v="0"/>
    <x v="0"/>
    <x v="0"/>
    <x v="0"/>
    <x v="3"/>
    <x v="0"/>
    <x v="0"/>
    <x v="0"/>
    <x v="0"/>
    <x v="0"/>
    <x v="0"/>
    <x v="0"/>
    <x v="0"/>
    <x v="0"/>
    <x v="0"/>
    <x v="0"/>
    <x v="0"/>
    <x v="0"/>
    <x v="0"/>
    <x v="0"/>
    <x v="0"/>
    <x v="0"/>
    <m/>
    <s v="Domos + ortos + tenementum + 3 prata + nemus + pastayracgium + perterum"/>
    <m/>
    <m/>
    <s v="Tence et Devesset"/>
    <n v="0"/>
    <n v="0"/>
    <n v="0"/>
    <n v="0"/>
    <n v="5"/>
    <n v="1"/>
    <n v="0"/>
    <n v="0"/>
    <n v="0"/>
    <n v="0"/>
    <n v="0"/>
    <n v="1"/>
    <n v="0"/>
    <n v="0"/>
    <n v="6"/>
    <n v="0"/>
    <n v="0"/>
    <n v="2"/>
    <n v="0"/>
    <n v="0"/>
    <n v="0"/>
    <n v="0"/>
    <n v="0"/>
    <n v="0"/>
    <s v="Ortis + prata + nemus + calma + prix notaire"/>
    <n v="45.75"/>
    <n v="0"/>
    <n v="0"/>
    <n v="0"/>
    <n v="0"/>
    <m/>
    <s v="Toussaint"/>
    <s v="Mero et mixto imperio"/>
    <s v="De juridictione mandamento et in mandamentum castri Devesseti"/>
    <s v="Devesset, in turre supra portam"/>
    <s v="Girandus Girandi de Pulinaco"/>
    <s v="Guillermo Badelli sive Garaito"/>
    <s v="Matheo Morelli de Ruppe Paula"/>
    <m/>
    <m/>
    <m/>
    <m/>
  </r>
  <r>
    <n v="351"/>
    <m/>
    <s v="Matheus"/>
    <s v="De Flachoco"/>
    <x v="35"/>
    <m/>
    <m/>
    <s v="Pro Guigone eius uxoris"/>
    <s v="H"/>
    <n v="1343"/>
    <s v="Avril"/>
    <n v="8"/>
    <s v="Raynaud de Fay"/>
    <m/>
    <x v="0"/>
    <s v="Non"/>
    <s v="Non"/>
    <s v="Non"/>
    <s v="Non"/>
    <s v="Non"/>
    <m/>
    <s v="Contractus emphiteotitarii"/>
    <x v="0"/>
    <x v="0"/>
    <x v="1"/>
    <x v="0"/>
    <x v="0"/>
    <x v="0"/>
    <x v="0"/>
    <x v="1"/>
    <x v="0"/>
    <x v="0"/>
    <x v="0"/>
    <s v="Non"/>
    <x v="0"/>
    <x v="0"/>
    <x v="0"/>
    <x v="0"/>
    <x v="0"/>
    <x v="0"/>
    <x v="0"/>
    <x v="0"/>
    <x v="0"/>
    <x v="0"/>
    <x v="0"/>
    <x v="0"/>
    <x v="0"/>
    <x v="0"/>
    <x v="0"/>
    <x v="0"/>
    <x v="0"/>
    <x v="0"/>
    <x v="0"/>
    <x v="0"/>
    <x v="0"/>
    <x v="0"/>
    <x v="0"/>
    <x v="0"/>
    <x v="0"/>
    <x v="0"/>
    <x v="0"/>
    <x v="0"/>
    <x v="0"/>
    <x v="0"/>
    <m/>
    <s v="Pratum"/>
    <m/>
    <m/>
    <m/>
    <n v="0"/>
    <n v="0"/>
    <n v="0"/>
    <n v="0"/>
    <n v="0"/>
    <n v="0"/>
    <n v="0"/>
    <n v="0"/>
    <n v="0"/>
    <n v="0"/>
    <n v="0"/>
    <n v="0"/>
    <n v="0"/>
    <n v="0"/>
    <n v="0"/>
    <n v="0"/>
    <n v="0"/>
    <n v="0"/>
    <n v="0"/>
    <n v="0"/>
    <n v="0"/>
    <n v="0"/>
    <n v="0"/>
    <n v="0"/>
    <m/>
    <n v="1.5"/>
    <n v="0"/>
    <n v="0"/>
    <n v="0"/>
    <n v="0"/>
    <m/>
    <s v="Toussaint"/>
    <s v="De juridictione omnimoda"/>
    <s v="Castri Devesseti"/>
    <s v="Devesset, in turre supra portam fortalicii"/>
    <s v="Girandus Girandi de Pulinaco"/>
    <s v="Johane Blaoner"/>
    <s v="Martina Maria"/>
    <m/>
    <m/>
    <m/>
    <m/>
  </r>
  <r>
    <n v="361"/>
    <m/>
    <s v="Raymundus"/>
    <s v="Parayre"/>
    <x v="35"/>
    <m/>
    <m/>
    <m/>
    <s v="H"/>
    <n v="1343"/>
    <s v="Avril"/>
    <n v="8"/>
    <s v="Raynaud de Fay"/>
    <m/>
    <x v="0"/>
    <s v="Non"/>
    <s v="Non"/>
    <s v="Non"/>
    <s v="Non"/>
    <s v="Non"/>
    <m/>
    <s v="Contractus emphiteotitarii"/>
    <x v="0"/>
    <x v="0"/>
    <x v="1"/>
    <x v="0"/>
    <x v="0"/>
    <x v="0"/>
    <x v="0"/>
    <x v="1"/>
    <x v="0"/>
    <x v="0"/>
    <x v="0"/>
    <s v="Non"/>
    <x v="0"/>
    <x v="0"/>
    <x v="0"/>
    <x v="0"/>
    <x v="0"/>
    <x v="0"/>
    <x v="0"/>
    <x v="0"/>
    <x v="0"/>
    <x v="0"/>
    <x v="0"/>
    <x v="0"/>
    <x v="0"/>
    <x v="0"/>
    <x v="0"/>
    <x v="0"/>
    <x v="0"/>
    <x v="0"/>
    <x v="0"/>
    <x v="0"/>
    <x v="0"/>
    <x v="0"/>
    <x v="0"/>
    <x v="0"/>
    <x v="0"/>
    <x v="0"/>
    <x v="0"/>
    <x v="0"/>
    <x v="0"/>
    <x v="0"/>
    <m/>
    <s v="Nemus + 2 prati"/>
    <m/>
    <m/>
    <m/>
    <n v="0"/>
    <n v="0"/>
    <n v="0"/>
    <n v="0"/>
    <n v="0"/>
    <n v="0"/>
    <n v="0"/>
    <n v="0"/>
    <n v="0"/>
    <n v="0"/>
    <n v="0"/>
    <n v="0"/>
    <n v="0"/>
    <n v="0"/>
    <n v="0"/>
    <n v="0"/>
    <n v="0"/>
    <n v="0"/>
    <n v="0"/>
    <n v="0"/>
    <n v="0"/>
    <n v="0"/>
    <n v="0"/>
    <n v="0"/>
    <m/>
    <n v="0.41666666666666669"/>
    <n v="0"/>
    <n v="0"/>
    <n v="0"/>
    <n v="0"/>
    <m/>
    <s v="Toussaint"/>
    <m/>
    <m/>
    <s v="Devesset, in turre supra portam"/>
    <s v="Girandus Girandi de Pulinaco"/>
    <s v="Fratre Petro de Casalibus (Hospitalier)"/>
    <s v="Bernardo de Ruppe"/>
    <s v="Armandi de Devesseto"/>
    <m/>
    <m/>
    <m/>
  </r>
  <r>
    <n v="362"/>
    <m/>
    <s v="Peyruchonus"/>
    <s v="Paulini"/>
    <x v="35"/>
    <m/>
    <m/>
    <m/>
    <s v="H"/>
    <n v="1343"/>
    <s v="Avril"/>
    <n v="8"/>
    <s v="Raynaud de Fay"/>
    <m/>
    <x v="0"/>
    <s v="Non"/>
    <s v="Non"/>
    <s v="Non"/>
    <s v="Non"/>
    <s v="Non"/>
    <m/>
    <s v="Contractus emphiteotitarii"/>
    <x v="0"/>
    <x v="0"/>
    <x v="4"/>
    <x v="0"/>
    <x v="3"/>
    <x v="0"/>
    <x v="0"/>
    <x v="1"/>
    <x v="0"/>
    <x v="0"/>
    <x v="0"/>
    <s v="Non"/>
    <x v="0"/>
    <x v="0"/>
    <x v="0"/>
    <x v="0"/>
    <x v="0"/>
    <x v="0"/>
    <x v="0"/>
    <x v="0"/>
    <x v="0"/>
    <x v="0"/>
    <x v="0"/>
    <x v="0"/>
    <x v="0"/>
    <x v="0"/>
    <x v="0"/>
    <x v="0"/>
    <x v="0"/>
    <x v="0"/>
    <x v="0"/>
    <x v="0"/>
    <x v="0"/>
    <x v="0"/>
    <x v="0"/>
    <x v="0"/>
    <x v="0"/>
    <x v="0"/>
    <x v="0"/>
    <x v="0"/>
    <x v="0"/>
    <x v="0"/>
    <m/>
    <s v="Ortum"/>
    <m/>
    <m/>
    <m/>
    <n v="0"/>
    <n v="0"/>
    <n v="0"/>
    <n v="0"/>
    <n v="0"/>
    <n v="0"/>
    <n v="0"/>
    <n v="0"/>
    <n v="0"/>
    <n v="0"/>
    <n v="0"/>
    <n v="0"/>
    <n v="0"/>
    <n v="0"/>
    <n v="0"/>
    <n v="0"/>
    <n v="0"/>
    <n v="0"/>
    <n v="0"/>
    <n v="0"/>
    <n v="0"/>
    <n v="0"/>
    <n v="0"/>
    <n v="0"/>
    <m/>
    <n v="7"/>
    <m/>
    <m/>
    <n v="0"/>
    <n v="0"/>
    <m/>
    <s v="Toussaint"/>
    <m/>
    <m/>
    <s v="Devesset, in turre supra portam"/>
    <s v="Girandus Girandi de Pulinaco"/>
    <s v="Fratre Petro de Casalibus (Hospitalier)"/>
    <s v="Raymundo Parare"/>
    <s v="Armandi de Devesseto"/>
    <m/>
    <m/>
    <m/>
  </r>
  <r>
    <n v="1451"/>
    <m/>
    <s v="Petrus et Martinus"/>
    <s v="De la Costa"/>
    <x v="36"/>
    <m/>
    <m/>
    <m/>
    <s v="G"/>
    <n v="1342"/>
    <s v="Février"/>
    <s v="?"/>
    <s v="Raynaud de Fay"/>
    <s v="Homo-licgius, justitabilis et expletabilis"/>
    <x v="0"/>
    <s v="Non"/>
    <s v="Oui"/>
    <s v="Oui"/>
    <s v="Oui"/>
    <s v="Non"/>
    <m/>
    <m/>
    <x v="3"/>
    <x v="4"/>
    <x v="0"/>
    <x v="0"/>
    <x v="0"/>
    <x v="0"/>
    <x v="0"/>
    <x v="0"/>
    <x v="0"/>
    <x v="0"/>
    <x v="0"/>
    <s v="Non"/>
    <x v="0"/>
    <x v="0"/>
    <x v="0"/>
    <x v="0"/>
    <x v="0"/>
    <x v="0"/>
    <x v="0"/>
    <x v="0"/>
    <x v="0"/>
    <x v="0"/>
    <x v="0"/>
    <x v="0"/>
    <x v="0"/>
    <x v="0"/>
    <x v="0"/>
    <x v="0"/>
    <x v="0"/>
    <x v="0"/>
    <x v="0"/>
    <x v="0"/>
    <x v="0"/>
    <x v="0"/>
    <x v="0"/>
    <x v="0"/>
    <x v="0"/>
    <x v="0"/>
    <x v="0"/>
    <x v="0"/>
    <x v="0"/>
    <x v="1"/>
    <s v="Bien au nom Martinus"/>
    <s v="Terra"/>
    <s v="Loco et territorio de la Costa"/>
    <m/>
    <s v="Devesset"/>
    <n v="0"/>
    <n v="0"/>
    <n v="0"/>
    <n v="0"/>
    <n v="0"/>
    <n v="0"/>
    <n v="0"/>
    <n v="1"/>
    <n v="0"/>
    <n v="0"/>
    <n v="0"/>
    <n v="0"/>
    <n v="0"/>
    <n v="0"/>
    <n v="1.6"/>
    <n v="0"/>
    <n v="0"/>
    <n v="0"/>
    <n v="0"/>
    <n v="0"/>
    <n v="0"/>
    <n v="0"/>
    <n v="0"/>
    <n v="0"/>
    <s v="Terra"/>
    <n v="1.6666666666666667"/>
    <n v="0"/>
    <n v="0"/>
    <n v="1.5"/>
    <n v="0"/>
    <s v="Censu et talha"/>
    <m/>
    <s v="Mero et mixto imperio"/>
    <s v="In mandamentum et de mandamento castri Devesseti"/>
    <s v="Devesset"/>
    <s v="Girandus Girandi de Pulinaco"/>
    <s v="Religioso viro fratre Johanne Meuli Hospitalis"/>
    <s v="Bernardo de Ruppe clerico"/>
    <s v="Petro Duneria"/>
    <m/>
    <m/>
    <m/>
  </r>
  <r>
    <n v="1722"/>
    <m/>
    <s v="Petrus"/>
    <s v="Rouchonis de Sancto Agrippano"/>
    <x v="37"/>
    <s v="Habitator loci del Fay"/>
    <m/>
    <m/>
    <s v="H"/>
    <n v="1343"/>
    <s v="Avril"/>
    <n v="23"/>
    <s v="Raynaud de Fay"/>
    <s v="Promisit esse bonus et fidelis tenementarius domus Devesseti"/>
    <x v="0"/>
    <m/>
    <m/>
    <m/>
    <m/>
    <m/>
    <m/>
    <s v="Constractus emphiteotarii"/>
    <x v="0"/>
    <x v="0"/>
    <x v="2"/>
    <x v="0"/>
    <x v="0"/>
    <x v="0"/>
    <x v="0"/>
    <x v="4"/>
    <x v="0"/>
    <x v="0"/>
    <x v="0"/>
    <s v="Non"/>
    <x v="0"/>
    <x v="0"/>
    <x v="0"/>
    <x v="0"/>
    <x v="0"/>
    <x v="0"/>
    <x v="0"/>
    <x v="0"/>
    <x v="0"/>
    <x v="0"/>
    <x v="0"/>
    <x v="0"/>
    <x v="0"/>
    <x v="0"/>
    <x v="0"/>
    <x v="0"/>
    <x v="0"/>
    <x v="0"/>
    <x v="0"/>
    <x v="0"/>
    <x v="0"/>
    <x v="0"/>
    <x v="0"/>
    <x v="0"/>
    <x v="0"/>
    <x v="0"/>
    <x v="0"/>
    <x v="0"/>
    <x v="0"/>
    <x v="0"/>
    <m/>
    <s v="Duas partes prati et terre"/>
    <m/>
    <m/>
    <m/>
    <n v="0"/>
    <n v="0"/>
    <n v="0"/>
    <n v="0"/>
    <n v="0"/>
    <n v="0"/>
    <n v="0"/>
    <n v="0"/>
    <n v="0"/>
    <n v="0"/>
    <n v="0"/>
    <n v="0"/>
    <n v="0"/>
    <n v="0"/>
    <n v="0"/>
    <n v="0"/>
    <n v="0"/>
    <n v="0"/>
    <n v="0"/>
    <n v="0"/>
    <n v="0"/>
    <n v="0"/>
    <n v="0"/>
    <n v="0"/>
    <m/>
    <n v="0.41666666666666669"/>
    <n v="0"/>
    <n v="0"/>
    <n v="0"/>
    <n v="0"/>
    <m/>
    <s v="Toussaint"/>
    <m/>
    <s v="In mandamento et infra mandamentum castri Devesseti"/>
    <s v="Devesset, infra fortalicium"/>
    <s v="Girandus Girandi de Pulinaco"/>
    <s v="Chola Chanbonant"/>
    <s v="Egidio Blachonis"/>
    <s v="Vitale Garnerii de Masalibrant"/>
    <m/>
    <m/>
    <m/>
  </r>
  <r>
    <n v="1531"/>
    <m/>
    <s v="Symondus"/>
    <s v="De La Valeta"/>
    <x v="38"/>
    <m/>
    <m/>
    <m/>
    <s v="H"/>
    <n v="1342"/>
    <s v="Février"/>
    <n v="17"/>
    <s v="Raynaud de Fay"/>
    <s v="Homo-licgius, justitabilis et expletabilis"/>
    <x v="0"/>
    <s v="Non"/>
    <s v="Oui"/>
    <s v="Oui"/>
    <s v="Oui"/>
    <s v="Non"/>
    <s v="Avec bœufs et animaux"/>
    <s v="Constractus emphiteotarii"/>
    <x v="3"/>
    <x v="1"/>
    <x v="4"/>
    <x v="0"/>
    <x v="0"/>
    <x v="0"/>
    <x v="0"/>
    <x v="1"/>
    <x v="0"/>
    <x v="0"/>
    <x v="0"/>
    <s v="Non"/>
    <x v="0"/>
    <x v="0"/>
    <x v="0"/>
    <x v="0"/>
    <x v="0"/>
    <x v="0"/>
    <x v="0"/>
    <x v="10"/>
    <x v="0"/>
    <x v="0"/>
    <x v="0"/>
    <x v="0"/>
    <x v="0"/>
    <x v="0"/>
    <x v="0"/>
    <x v="0"/>
    <x v="0"/>
    <x v="0"/>
    <x v="0"/>
    <x v="0"/>
    <x v="0"/>
    <x v="0"/>
    <x v="0"/>
    <x v="0"/>
    <x v="0"/>
    <x v="0"/>
    <x v="0"/>
    <x v="0"/>
    <x v="0"/>
    <x v="0"/>
    <m/>
    <s v="Domum + 2 pratum + 2 ortum + 8 petiae"/>
    <m/>
    <m/>
    <s v="Devesset"/>
    <n v="1"/>
    <n v="0"/>
    <n v="0"/>
    <n v="0"/>
    <n v="0"/>
    <n v="1"/>
    <n v="0"/>
    <n v="0"/>
    <n v="0"/>
    <n v="0"/>
    <n v="0"/>
    <n v="0"/>
    <n v="0"/>
    <n v="0"/>
    <n v="0"/>
    <n v="1"/>
    <n v="0"/>
    <n v="0"/>
    <n v="0"/>
    <n v="0"/>
    <n v="0"/>
    <n v="0"/>
    <n v="0"/>
    <n v="0"/>
    <s v="Domum + duorum prati"/>
    <n v="2.8333333333333335"/>
    <n v="0"/>
    <n v="0"/>
    <n v="0"/>
    <n v="0"/>
    <m/>
    <s v="Toussaint"/>
    <s v="Mero et mixto imperio"/>
    <s v="De mandamento et de mandamentum juridictione domus Devesseti"/>
    <s v="Devesset, in turre supra portam"/>
    <s v="Girandus Girandi de Pulinaco"/>
    <s v="Johanne de La Valeta"/>
    <s v="Petro Girardi clerico"/>
    <m/>
    <m/>
    <m/>
    <m/>
  </r>
  <r>
    <n v="1771"/>
    <m/>
    <s v="Peyrotus et Johannes"/>
    <s v="De Pascalis"/>
    <x v="39"/>
    <m/>
    <s v="Fratres"/>
    <m/>
    <s v="G"/>
    <n v="1343"/>
    <s v="Décembre"/>
    <n v="5"/>
    <s v="Raynaud de Fay"/>
    <s v="Promisit esse fidelis domui Devesseti cum juramentum"/>
    <x v="0"/>
    <m/>
    <m/>
    <m/>
    <m/>
    <m/>
    <m/>
    <s v="Constractus emphiteotarii"/>
    <x v="0"/>
    <x v="0"/>
    <x v="0"/>
    <x v="0"/>
    <x v="3"/>
    <x v="0"/>
    <x v="0"/>
    <x v="4"/>
    <x v="0"/>
    <x v="0"/>
    <x v="0"/>
    <s v="Non"/>
    <x v="0"/>
    <x v="0"/>
    <x v="0"/>
    <x v="0"/>
    <x v="0"/>
    <x v="0"/>
    <x v="0"/>
    <x v="0"/>
    <x v="0"/>
    <x v="0"/>
    <x v="0"/>
    <x v="0"/>
    <x v="3"/>
    <x v="0"/>
    <x v="0"/>
    <x v="0"/>
    <x v="0"/>
    <x v="0"/>
    <x v="0"/>
    <x v="0"/>
    <x v="0"/>
    <x v="0"/>
    <x v="0"/>
    <x v="0"/>
    <x v="0"/>
    <x v="0"/>
    <x v="0"/>
    <x v="0"/>
    <x v="0"/>
    <x v="0"/>
    <m/>
    <s v="Tenementum + nemus + faciam terre"/>
    <m/>
    <m/>
    <s v="Devesset"/>
    <n v="0"/>
    <n v="0"/>
    <n v="0"/>
    <n v="0"/>
    <n v="1"/>
    <n v="0"/>
    <n v="0"/>
    <n v="0"/>
    <n v="0"/>
    <n v="0"/>
    <n v="0"/>
    <n v="0"/>
    <n v="0"/>
    <n v="0"/>
    <n v="0"/>
    <n v="0"/>
    <n v="0"/>
    <n v="0"/>
    <n v="0"/>
    <n v="0"/>
    <n v="0"/>
    <n v="0"/>
    <n v="0"/>
    <n v="0"/>
    <m/>
    <n v="0"/>
    <n v="0"/>
    <n v="0"/>
    <n v="0"/>
    <n v="0"/>
    <m/>
    <s v="Toussaint"/>
    <m/>
    <m/>
    <s v="Devesset, in turre supra portam"/>
    <s v="Girandus Girandi de Pulinaco"/>
    <s v="Johanne de Gelibertis"/>
    <s v="Unsencio de Villa Nova Devesseti"/>
    <m/>
    <m/>
    <m/>
    <m/>
  </r>
  <r>
    <n v="1551"/>
    <s v="Marge illisible"/>
    <s v="Jacobus"/>
    <s v="De la Valeta Raybrant"/>
    <x v="40"/>
    <m/>
    <m/>
    <m/>
    <s v="H"/>
    <n v="1342"/>
    <s v="Février"/>
    <n v="17"/>
    <s v="Raynaud de Fay"/>
    <s v="Homo-licgius, justitabilis et expletabilis"/>
    <x v="0"/>
    <s v="Non"/>
    <s v="Oui"/>
    <s v="Oui"/>
    <s v="Oui"/>
    <s v="Non"/>
    <s v="Avec bœufs et animaux"/>
    <s v="Constractus emphiteotarii"/>
    <x v="3"/>
    <x v="1"/>
    <x v="0"/>
    <x v="0"/>
    <x v="0"/>
    <x v="3"/>
    <x v="5"/>
    <x v="1"/>
    <x v="0"/>
    <x v="0"/>
    <x v="0"/>
    <s v="Non"/>
    <x v="0"/>
    <x v="0"/>
    <x v="0"/>
    <x v="3"/>
    <x v="0"/>
    <x v="0"/>
    <x v="0"/>
    <x v="5"/>
    <x v="0"/>
    <x v="0"/>
    <x v="0"/>
    <x v="0"/>
    <x v="0"/>
    <x v="0"/>
    <x v="0"/>
    <x v="0"/>
    <x v="0"/>
    <x v="0"/>
    <x v="2"/>
    <x v="0"/>
    <x v="0"/>
    <x v="0"/>
    <x v="0"/>
    <x v="0"/>
    <x v="0"/>
    <x v="0"/>
    <x v="0"/>
    <x v="0"/>
    <x v="0"/>
    <x v="0"/>
    <m/>
    <s v="Domum + 2 ortum + ouchiam + + possessiones 5 petiam + passatam + 2 pasturale + pascua"/>
    <s v="Territorio loci de la Valeta Ribrant"/>
    <m/>
    <s v="Devesset"/>
    <n v="1"/>
    <n v="0"/>
    <n v="0"/>
    <n v="0"/>
    <n v="0"/>
    <n v="1"/>
    <n v="0"/>
    <n v="0"/>
    <n v="1"/>
    <n v="0"/>
    <n v="0"/>
    <n v="0"/>
    <n v="0"/>
    <n v="1"/>
    <n v="0"/>
    <n v="0"/>
    <n v="0"/>
    <n v="0"/>
    <n v="0"/>
    <n v="0"/>
    <n v="0"/>
    <n v="0"/>
    <n v="0"/>
    <n v="0"/>
    <s v="Domum, ortum &amp; ouchiam"/>
    <n v="1"/>
    <n v="0"/>
    <n v="0"/>
    <n v="0"/>
    <n v="0"/>
    <s v="Censu et talha"/>
    <s v="Toussaint"/>
    <s v="Mero et mixto imperio"/>
    <s v="In mandamento et de mendamento castri Devesseti"/>
    <s v="Devesset, in turre supra portam"/>
    <s v="Girandus Girandi de Pulinaco"/>
    <s v="Bartholomeo Fabri de Montefolcont Peneterio "/>
    <s v="Andree de Espaetis"/>
    <m/>
    <m/>
    <m/>
    <m/>
  </r>
  <r>
    <n v="1561"/>
    <m/>
    <s v="Peyrononus"/>
    <s v="De la Valeta Raybrant"/>
    <x v="40"/>
    <m/>
    <s v="Filius Johannis de La Valeta Raybrant"/>
    <s v="Nomine Michaelis eius fratris"/>
    <s v="H"/>
    <n v="1342"/>
    <s v="Février"/>
    <n v="17"/>
    <s v="Raynaud de Fay"/>
    <s v="Homo-licgius"/>
    <x v="0"/>
    <s v="Non"/>
    <s v="Oui"/>
    <s v="Oui"/>
    <s v="Oui"/>
    <s v="Non"/>
    <s v="Avec bœufs et animaux"/>
    <s v="Contractus olim inter predecessores Peyruchonus et predecessores domini preceptori"/>
    <x v="3"/>
    <x v="1"/>
    <x v="1"/>
    <x v="3"/>
    <x v="0"/>
    <x v="0"/>
    <x v="4"/>
    <x v="1"/>
    <x v="0"/>
    <x v="0"/>
    <x v="0"/>
    <s v="Non"/>
    <x v="0"/>
    <x v="0"/>
    <x v="0"/>
    <x v="0"/>
    <x v="0"/>
    <x v="0"/>
    <x v="0"/>
    <x v="11"/>
    <x v="0"/>
    <x v="0"/>
    <x v="0"/>
    <x v="0"/>
    <x v="0"/>
    <x v="0"/>
    <x v="0"/>
    <x v="0"/>
    <x v="0"/>
    <x v="0"/>
    <x v="0"/>
    <x v="0"/>
    <x v="0"/>
    <x v="0"/>
    <x v="0"/>
    <x v="0"/>
    <x v="0"/>
    <x v="0"/>
    <x v="0"/>
    <x v="0"/>
    <x v="0"/>
    <x v="0"/>
    <m/>
    <s v="Domum + pratum + 2 ortum + 4 petia + campum + pasturale + possessiones"/>
    <s v="Territorio de la Valeta"/>
    <s v="Frère"/>
    <s v="Devesset"/>
    <n v="1"/>
    <n v="0"/>
    <n v="0"/>
    <n v="0"/>
    <n v="0"/>
    <n v="0"/>
    <n v="3.5"/>
    <n v="0"/>
    <n v="0"/>
    <n v="0"/>
    <n v="0"/>
    <n v="0"/>
    <n v="0"/>
    <n v="1"/>
    <n v="0"/>
    <n v="0"/>
    <n v="0"/>
    <n v="0"/>
    <n v="0"/>
    <n v="0"/>
    <n v="0"/>
    <n v="0"/>
    <n v="0"/>
    <n v="0"/>
    <s v="Domum + pratum"/>
    <n v="1.8333333333333333"/>
    <n v="0"/>
    <n v="0"/>
    <n v="0"/>
    <n v="0"/>
    <s v="Censu et talha + terres"/>
    <s v="Toussaint"/>
    <s v="Mero et mixto imperio"/>
    <s v="De mandamento et mandamentum castri Devesseti"/>
    <s v="Devesset, in turre supra portam"/>
    <s v="Girandus Girandi de Pulinaco"/>
    <s v="Bartholomeo Fabri de Montefolcont Peneterio "/>
    <s v="Andree de Espaetis"/>
    <m/>
    <m/>
    <m/>
    <m/>
  </r>
  <r>
    <n v="1761"/>
    <s v="Marge illisible"/>
    <s v="Petrus"/>
    <s v="De la Valeta Raybrant"/>
    <x v="40"/>
    <m/>
    <m/>
    <s v="Nomine Jacmete de Gant uxoris Andree eius filii"/>
    <s v="H"/>
    <n v="1343"/>
    <s v="Novembre"/>
    <n v="26"/>
    <s v="Raynaud de Fay"/>
    <s v="Promisit esse fidelis tenementarius domus Devesseti"/>
    <x v="0"/>
    <m/>
    <m/>
    <m/>
    <m/>
    <m/>
    <m/>
    <s v="Constractus emphiteotarii"/>
    <x v="0"/>
    <x v="0"/>
    <x v="6"/>
    <x v="0"/>
    <x v="0"/>
    <x v="0"/>
    <x v="1"/>
    <x v="4"/>
    <x v="0"/>
    <x v="0"/>
    <x v="0"/>
    <s v="Non"/>
    <x v="0"/>
    <x v="0"/>
    <x v="0"/>
    <x v="0"/>
    <x v="0"/>
    <x v="0"/>
    <x v="0"/>
    <x v="2"/>
    <x v="0"/>
    <x v="0"/>
    <x v="0"/>
    <x v="0"/>
    <x v="0"/>
    <x v="0"/>
    <x v="0"/>
    <x v="0"/>
    <x v="0"/>
    <x v="0"/>
    <x v="0"/>
    <x v="0"/>
    <x v="0"/>
    <x v="3"/>
    <x v="0"/>
    <x v="0"/>
    <x v="0"/>
    <x v="0"/>
    <x v="0"/>
    <x v="0"/>
    <x v="0"/>
    <x v="0"/>
    <m/>
    <s v="Terram + Terre petiam + petiam + 4 pratum + 2 levata aque + pasturale + partis pasturacgiorum"/>
    <m/>
    <s v="Bru"/>
    <s v="Devesset"/>
    <n v="0"/>
    <n v="0"/>
    <n v="0"/>
    <n v="0"/>
    <n v="0"/>
    <n v="1"/>
    <n v="1.5"/>
    <n v="0"/>
    <n v="0"/>
    <n v="0"/>
    <n v="0"/>
    <n v="0"/>
    <n v="1"/>
    <n v="1"/>
    <n v="0"/>
    <n v="0"/>
    <n v="0"/>
    <n v="0"/>
    <n v="0"/>
    <n v="0"/>
    <n v="0"/>
    <n v="0"/>
    <n v="0"/>
    <n v="0"/>
    <s v="Terram + 3 pratum + terre petiam + petiam + pratum et pasturale + buabus levatus aque + partis pasturacgiorum"/>
    <n v="7.833333333333333"/>
    <n v="0"/>
    <n v="0"/>
    <n v="0"/>
    <n v="0"/>
    <m/>
    <s v="Toussaint"/>
    <m/>
    <m/>
    <s v="Devesset, in turre supra portam"/>
    <s v="Girandus Girandi de Pulinaco"/>
    <s v="Petro de Ruppe al malpinha"/>
    <s v="Matheo de la Cela"/>
    <s v="Guillermo Chambalonia"/>
    <s v="Martini Gerardi"/>
    <m/>
    <m/>
  </r>
  <r>
    <n v="1381"/>
    <m/>
    <s v="Vitalis"/>
    <s v="Brannac"/>
    <x v="41"/>
    <m/>
    <m/>
    <s v="Nomine Pastoris eius uxoris"/>
    <s v="H"/>
    <n v="1343"/>
    <s v="Octobre"/>
    <n v="26"/>
    <s v="Raynaud de Fay"/>
    <m/>
    <x v="0"/>
    <m/>
    <m/>
    <m/>
    <m/>
    <m/>
    <m/>
    <m/>
    <x v="0"/>
    <x v="2"/>
    <x v="4"/>
    <x v="0"/>
    <x v="0"/>
    <x v="0"/>
    <x v="0"/>
    <x v="1"/>
    <x v="3"/>
    <x v="0"/>
    <x v="0"/>
    <s v="Non"/>
    <x v="0"/>
    <x v="0"/>
    <x v="0"/>
    <x v="3"/>
    <x v="0"/>
    <x v="0"/>
    <x v="0"/>
    <x v="12"/>
    <x v="0"/>
    <x v="0"/>
    <x v="0"/>
    <x v="0"/>
    <x v="0"/>
    <x v="0"/>
    <x v="0"/>
    <x v="0"/>
    <x v="0"/>
    <x v="0"/>
    <x v="0"/>
    <x v="0"/>
    <x v="0"/>
    <x v="0"/>
    <x v="0"/>
    <x v="0"/>
    <x v="0"/>
    <x v="0"/>
    <x v="0"/>
    <x v="0"/>
    <x v="0"/>
    <x v="0"/>
    <m/>
    <s v="1 ortos + 6 petiae + 2 prati + 1 casale + ouchiam + possessiones"/>
    <s v="Manso et territorio de la Vileta"/>
    <s v="Femme"/>
    <s v="Devesset"/>
    <n v="0.33333333333333331"/>
    <n v="0"/>
    <n v="0"/>
    <n v="0"/>
    <n v="0"/>
    <n v="0"/>
    <n v="3"/>
    <n v="0"/>
    <n v="0"/>
    <n v="0"/>
    <n v="0"/>
    <n v="0"/>
    <n v="0"/>
    <n v="1.5"/>
    <n v="0"/>
    <n v="0"/>
    <n v="0"/>
    <n v="0"/>
    <n v="0"/>
    <n v="0"/>
    <n v="0"/>
    <n v="0"/>
    <n v="0"/>
    <n v="0"/>
    <s v="Casale + duabus prati"/>
    <n v="2.25"/>
    <n v="0"/>
    <n v="0"/>
    <n v="0"/>
    <n v="0"/>
    <m/>
    <s v="Toussaint"/>
    <s v="Mero et mixto imperio"/>
    <s v="De mandamento et juridictione et de mandamentum castri seu domus Devesseti"/>
    <s v="Devesset, in turre supra portam"/>
    <s v="Girandus Girandi de Pulinaco"/>
    <s v="Petro de Ruppe"/>
    <s v="Al' Malpinha"/>
    <s v="Petro de Mentalonel"/>
    <m/>
    <m/>
    <m/>
  </r>
  <r>
    <n v="1392"/>
    <m/>
    <s v="Vitalis"/>
    <s v="Brannac"/>
    <x v="41"/>
    <m/>
    <m/>
    <m/>
    <s v="H"/>
    <n v="1343"/>
    <s v="Juin"/>
    <n v="22"/>
    <s v="Raynaud de Fay"/>
    <s v="Homo-licgius, justitabilis et expletabilis"/>
    <x v="0"/>
    <s v="Non"/>
    <s v="Oui"/>
    <s v="Oui"/>
    <s v="Oui"/>
    <s v="Non"/>
    <m/>
    <m/>
    <x v="2"/>
    <x v="2"/>
    <x v="4"/>
    <x v="0"/>
    <x v="3"/>
    <x v="0"/>
    <x v="0"/>
    <x v="1"/>
    <x v="0"/>
    <x v="0"/>
    <x v="0"/>
    <s v="Non"/>
    <x v="0"/>
    <x v="0"/>
    <x v="0"/>
    <x v="2"/>
    <x v="0"/>
    <x v="0"/>
    <x v="0"/>
    <x v="10"/>
    <x v="0"/>
    <x v="0"/>
    <x v="0"/>
    <x v="0"/>
    <x v="0"/>
    <x v="0"/>
    <x v="0"/>
    <x v="0"/>
    <x v="0"/>
    <x v="0"/>
    <x v="0"/>
    <x v="0"/>
    <x v="0"/>
    <x v="0"/>
    <x v="0"/>
    <x v="0"/>
    <x v="0"/>
    <x v="0"/>
    <x v="0"/>
    <x v="0"/>
    <x v="0"/>
    <x v="0"/>
    <m/>
    <s v="8 petiae + 1 ouchia + domos + 1 nemus + 2 prati"/>
    <m/>
    <m/>
    <s v="Devesset"/>
    <n v="1"/>
    <n v="0"/>
    <n v="0"/>
    <n v="0"/>
    <n v="0"/>
    <n v="0"/>
    <n v="7"/>
    <n v="3"/>
    <n v="0"/>
    <n v="0"/>
    <n v="0"/>
    <n v="0"/>
    <n v="1"/>
    <n v="0"/>
    <n v="0"/>
    <n v="0"/>
    <n v="0"/>
    <n v="0"/>
    <n v="0"/>
    <n v="0"/>
    <n v="0"/>
    <n v="0"/>
    <n v="0"/>
    <n v="0"/>
    <s v="Domos + duabus prati"/>
    <n v="9"/>
    <n v="0"/>
    <n v="0"/>
    <n v="0"/>
    <n v="0"/>
    <m/>
    <m/>
    <m/>
    <m/>
    <m/>
    <s v="Girandus Girandi de Pulinaco"/>
    <m/>
    <m/>
    <m/>
    <m/>
    <m/>
    <m/>
  </r>
  <r>
    <n v="1582"/>
    <m/>
    <s v="Bartholomea"/>
    <s v="De la Vileta"/>
    <x v="41"/>
    <m/>
    <s v="Relicta Bartholomei de La Vileta condam"/>
    <s v="Nomine Petri eius filii"/>
    <s v="F"/>
    <n v="1342"/>
    <s v="Février"/>
    <n v="19"/>
    <s v="Raynaud de Fay"/>
    <s v="Homo-licgius, justitabilis et expletabilis"/>
    <x v="0"/>
    <s v="Non"/>
    <s v="Oui"/>
    <s v="Oui"/>
    <s v="Oui"/>
    <s v="Non"/>
    <s v="Avec bœufs"/>
    <m/>
    <x v="0"/>
    <x v="4"/>
    <x v="1"/>
    <x v="0"/>
    <x v="0"/>
    <x v="0"/>
    <x v="0"/>
    <x v="1"/>
    <x v="3"/>
    <x v="0"/>
    <x v="0"/>
    <s v="Non"/>
    <x v="0"/>
    <x v="0"/>
    <x v="0"/>
    <x v="0"/>
    <x v="0"/>
    <x v="0"/>
    <x v="0"/>
    <x v="5"/>
    <x v="0"/>
    <x v="0"/>
    <x v="0"/>
    <x v="0"/>
    <x v="0"/>
    <x v="0"/>
    <x v="0"/>
    <x v="0"/>
    <x v="0"/>
    <x v="0"/>
    <x v="0"/>
    <x v="0"/>
    <x v="0"/>
    <x v="0"/>
    <x v="0"/>
    <x v="0"/>
    <x v="0"/>
    <x v="0"/>
    <x v="0"/>
    <x v="0"/>
    <x v="0"/>
    <x v="0"/>
    <m/>
    <s v="Casale + ortum + 5 petiam + pratum + possessiones"/>
    <s v="Territorio de la Vileta"/>
    <s v="Fils"/>
    <s v="Devesset"/>
    <n v="0.16666666666666666"/>
    <n v="0"/>
    <n v="0"/>
    <n v="0"/>
    <n v="0"/>
    <n v="0"/>
    <n v="1"/>
    <n v="0"/>
    <n v="0"/>
    <n v="0"/>
    <n v="0"/>
    <n v="0"/>
    <n v="0"/>
    <n v="0.5"/>
    <n v="0"/>
    <n v="0"/>
    <n v="0"/>
    <n v="0"/>
    <n v="0"/>
    <n v="0"/>
    <n v="0"/>
    <n v="0"/>
    <n v="0"/>
    <n v="0"/>
    <s v="Pratum + casale"/>
    <n v="1"/>
    <n v="0"/>
    <n v="0"/>
    <n v="0"/>
    <n v="0"/>
    <s v="Censu et talha + pratum"/>
    <s v="Toussaint"/>
    <s v="Mero et mixto imperio"/>
    <s v="In mandamento et de mendamento juridictione castri Devesseti"/>
    <s v="Devesset, in turre supra portam"/>
    <s v="Girandus Girandi de Pulinaco"/>
    <s v="Peireto de Montabonel"/>
    <s v="Michaele de Las Fontetas"/>
    <m/>
    <m/>
    <m/>
    <m/>
  </r>
  <r>
    <n v="1583"/>
    <m/>
    <s v="Petronilla"/>
    <s v="Balbi"/>
    <x v="41"/>
    <m/>
    <s v="Filia Staphani Balbi de la Vileta condam"/>
    <m/>
    <s v="F"/>
    <n v="1342"/>
    <s v="Février"/>
    <n v="20"/>
    <s v="Raynaud de Fay"/>
    <s v="Mulier-licgia, justitabilis et expletabilis"/>
    <x v="0"/>
    <s v="Non"/>
    <s v="Oui"/>
    <s v="Non"/>
    <s v="Oui"/>
    <s v="Non"/>
    <m/>
    <s v="Constractus emphiteotarii"/>
    <x v="0"/>
    <x v="4"/>
    <x v="0"/>
    <x v="0"/>
    <x v="0"/>
    <x v="0"/>
    <x v="0"/>
    <x v="1"/>
    <x v="3"/>
    <x v="0"/>
    <x v="0"/>
    <s v="Non"/>
    <x v="0"/>
    <x v="0"/>
    <x v="0"/>
    <x v="3"/>
    <x v="0"/>
    <x v="0"/>
    <x v="0"/>
    <x v="11"/>
    <x v="0"/>
    <x v="0"/>
    <x v="0"/>
    <x v="0"/>
    <x v="0"/>
    <x v="0"/>
    <x v="0"/>
    <x v="0"/>
    <x v="0"/>
    <x v="0"/>
    <x v="0"/>
    <x v="0"/>
    <x v="0"/>
    <x v="0"/>
    <x v="0"/>
    <x v="0"/>
    <x v="0"/>
    <x v="0"/>
    <x v="0"/>
    <x v="0"/>
    <x v="0"/>
    <x v="0"/>
    <m/>
    <s v="Casale + ouchiam + 4 pratam"/>
    <s v="Territorio de la Vileta"/>
    <m/>
    <s v="Devesset"/>
    <n v="0.16666666666666666"/>
    <n v="0"/>
    <n v="0"/>
    <n v="0"/>
    <n v="0"/>
    <n v="0"/>
    <n v="1"/>
    <n v="0"/>
    <n v="0"/>
    <n v="0"/>
    <n v="0"/>
    <n v="0"/>
    <n v="0"/>
    <n v="0.5"/>
    <n v="0"/>
    <n v="0"/>
    <n v="0"/>
    <n v="0"/>
    <n v="0"/>
    <n v="0"/>
    <n v="0"/>
    <n v="0"/>
    <n v="0"/>
    <n v="0"/>
    <s v="Casale"/>
    <n v="1"/>
    <n v="0"/>
    <n v="0"/>
    <n v="0"/>
    <n v="0"/>
    <s v="Censu et talha"/>
    <s v="Toussaint"/>
    <s v="Mero et mixto imperio"/>
    <s v="De juridictione mandamentum et de mandamento castri Devesseti"/>
    <s v="Devesset, in turre supra portam"/>
    <s v="Girandus Girandi de Pulinaco"/>
    <s v="Anthonio Chambonis"/>
    <s v="Pascalono de Lartanda Villa Nova"/>
    <m/>
    <m/>
    <m/>
    <m/>
  </r>
  <r>
    <n v="1872"/>
    <m/>
    <s v="Martinus"/>
    <s v="De La Vileta"/>
    <x v="41"/>
    <m/>
    <m/>
    <m/>
    <s v="H"/>
    <n v="1345"/>
    <s v="Janvier"/>
    <n v="29"/>
    <s v="Raynaud de Fay"/>
    <s v="Homo-licgius"/>
    <x v="1"/>
    <s v="Non"/>
    <s v="Oui"/>
    <s v="Non"/>
    <s v="Oui"/>
    <s v="Non"/>
    <m/>
    <m/>
    <x v="0"/>
    <x v="0"/>
    <x v="1"/>
    <x v="0"/>
    <x v="0"/>
    <x v="0"/>
    <x v="0"/>
    <x v="0"/>
    <x v="0"/>
    <x v="0"/>
    <x v="0"/>
    <s v="Non"/>
    <x v="0"/>
    <x v="0"/>
    <x v="0"/>
    <x v="0"/>
    <x v="0"/>
    <x v="0"/>
    <x v="0"/>
    <x v="0"/>
    <x v="0"/>
    <x v="0"/>
    <x v="0"/>
    <x v="0"/>
    <x v="0"/>
    <x v="0"/>
    <x v="0"/>
    <x v="0"/>
    <x v="0"/>
    <x v="0"/>
    <x v="0"/>
    <x v="0"/>
    <x v="0"/>
    <x v="0"/>
    <x v="0"/>
    <x v="0"/>
    <x v="0"/>
    <x v="0"/>
    <x v="0"/>
    <x v="0"/>
    <x v="0"/>
    <x v="0"/>
    <m/>
    <s v="Terram + pratum"/>
    <m/>
    <m/>
    <s v="Devesset"/>
    <n v="0"/>
    <n v="0"/>
    <n v="0"/>
    <n v="0"/>
    <n v="0"/>
    <n v="0"/>
    <n v="0"/>
    <n v="1"/>
    <n v="0"/>
    <n v="0"/>
    <n v="0"/>
    <n v="0"/>
    <n v="0"/>
    <n v="0"/>
    <n v="0.5"/>
    <n v="0"/>
    <n v="0"/>
    <n v="0"/>
    <n v="0"/>
    <n v="0"/>
    <n v="0"/>
    <n v="0"/>
    <n v="0"/>
    <n v="0"/>
    <m/>
    <n v="0.33333333333333331"/>
    <n v="0"/>
    <n v="0"/>
    <n v="0"/>
    <n v="0"/>
    <m/>
    <s v="Toussaint"/>
    <m/>
    <m/>
    <s v="Devesset, subtus estram"/>
    <s v="Girandus Girandi de Pulinaco"/>
    <s v="Armando de Pitanderiis"/>
    <s v="Stephano Filio Durandi de Croseto"/>
    <s v="Johanne Massardi"/>
    <m/>
    <m/>
    <m/>
  </r>
  <r>
    <n v="1522"/>
    <m/>
    <s v="Jacobus"/>
    <s v="Mundonis"/>
    <x v="42"/>
    <m/>
    <m/>
    <m/>
    <s v="H"/>
    <n v="1342"/>
    <s v="Décembre"/>
    <n v="8"/>
    <s v="Raynaud de Fay"/>
    <m/>
    <x v="0"/>
    <m/>
    <m/>
    <m/>
    <m/>
    <m/>
    <m/>
    <s v="Constractus emphiteotarii"/>
    <x v="0"/>
    <x v="0"/>
    <x v="0"/>
    <x v="0"/>
    <x v="0"/>
    <x v="0"/>
    <x v="0"/>
    <x v="4"/>
    <x v="0"/>
    <x v="0"/>
    <x v="0"/>
    <s v="Non"/>
    <x v="0"/>
    <x v="0"/>
    <x v="0"/>
    <x v="0"/>
    <x v="0"/>
    <x v="0"/>
    <x v="0"/>
    <x v="0"/>
    <x v="0"/>
    <x v="0"/>
    <x v="0"/>
    <x v="0"/>
    <x v="0"/>
    <x v="0"/>
    <x v="0"/>
    <x v="0"/>
    <x v="0"/>
    <x v="0"/>
    <x v="0"/>
    <x v="0"/>
    <x v="0"/>
    <x v="0"/>
    <x v="0"/>
    <x v="0"/>
    <x v="0"/>
    <x v="0"/>
    <x v="0"/>
    <x v="0"/>
    <x v="0"/>
    <x v="0"/>
    <m/>
    <s v="Petiam terre"/>
    <m/>
    <m/>
    <m/>
    <n v="0"/>
    <n v="0"/>
    <n v="0"/>
    <n v="0"/>
    <n v="0"/>
    <n v="0"/>
    <n v="0"/>
    <n v="0"/>
    <n v="0"/>
    <n v="0"/>
    <n v="0"/>
    <n v="0"/>
    <n v="0"/>
    <n v="0"/>
    <n v="0"/>
    <n v="0"/>
    <n v="0"/>
    <n v="0"/>
    <n v="0"/>
    <n v="0"/>
    <n v="0"/>
    <n v="0"/>
    <n v="0"/>
    <n v="0"/>
    <s v="Petiam terre"/>
    <n v="0.33333333333333331"/>
    <n v="0"/>
    <n v="0"/>
    <n v="0"/>
    <n v="0"/>
    <m/>
    <s v="Toussaint"/>
    <m/>
    <m/>
    <s v="Saint-Agrève, ante graidum somini preceptoris"/>
    <s v="Girandus Girandi de Pulinaco"/>
    <s v="Bartholomeo de Malagaita"/>
    <s v="Johanne de Malagaita"/>
    <s v="Johanne Cardini de Chausilhac"/>
    <s v="Al' Sanhas"/>
    <m/>
    <m/>
  </r>
  <r>
    <n v="601"/>
    <m/>
    <s v="Dompninus"/>
    <s v="De Las Ruschas"/>
    <x v="43"/>
    <m/>
    <m/>
    <m/>
    <s v="H"/>
    <n v="1343"/>
    <s v="Avril"/>
    <n v="29"/>
    <s v="Raynaud de Fay"/>
    <s v="Homo-licgius, justitabilis et expletabilis"/>
    <x v="1"/>
    <s v="Non"/>
    <s v="Oui"/>
    <s v="Oui"/>
    <s v="Oui"/>
    <s v="Non"/>
    <m/>
    <s v="Contractus emphiteotitarii"/>
    <x v="2"/>
    <x v="0"/>
    <x v="0"/>
    <x v="0"/>
    <x v="0"/>
    <x v="0"/>
    <x v="1"/>
    <x v="1"/>
    <x v="0"/>
    <x v="0"/>
    <x v="0"/>
    <s v="Non"/>
    <x v="0"/>
    <x v="0"/>
    <x v="0"/>
    <x v="0"/>
    <x v="0"/>
    <x v="0"/>
    <x v="0"/>
    <x v="1"/>
    <x v="0"/>
    <x v="0"/>
    <x v="0"/>
    <x v="0"/>
    <x v="0"/>
    <x v="0"/>
    <x v="0"/>
    <x v="0"/>
    <x v="0"/>
    <x v="0"/>
    <x v="0"/>
    <x v="0"/>
    <x v="0"/>
    <x v="0"/>
    <x v="0"/>
    <x v="0"/>
    <x v="0"/>
    <x v="0"/>
    <x v="0"/>
    <x v="0"/>
    <x v="0"/>
    <x v="1"/>
    <m/>
    <s v="3 Petia + Pasturale"/>
    <s v="Territorio de Lasruschas"/>
    <m/>
    <s v="Borzeza"/>
    <n v="0.33333333333333331"/>
    <n v="0"/>
    <n v="0"/>
    <n v="0"/>
    <n v="0"/>
    <n v="0"/>
    <n v="3.3333333333333335"/>
    <n v="0"/>
    <n v="2"/>
    <n v="0"/>
    <n v="0"/>
    <n v="0"/>
    <n v="0"/>
    <n v="0"/>
    <n v="0"/>
    <n v="1"/>
    <n v="0"/>
    <n v="0"/>
    <n v="0"/>
    <n v="0"/>
    <n v="0"/>
    <n v="0"/>
    <n v="0"/>
    <n v="0"/>
    <s v="3 Petia + Pasturale"/>
    <n v="3.666666666666667"/>
    <n v="0"/>
    <n v="0"/>
    <n v="0"/>
    <n v="0"/>
    <s v="Sua heredidate"/>
    <s v="Toussaint"/>
    <m/>
    <m/>
    <s v="Devesset, in turre supra portam"/>
    <s v="Girandus Girandi de Pulinaco"/>
    <s v="Michaele Girardi de Masalibrant"/>
    <s v="Petro Girardi de Masalibrant"/>
    <m/>
    <m/>
    <m/>
    <m/>
  </r>
  <r>
    <n v="611"/>
    <m/>
    <s v="Petrus"/>
    <s v="De Las Ruschas"/>
    <x v="43"/>
    <m/>
    <m/>
    <s v="Petronille eius uxoris"/>
    <s v="H"/>
    <n v="1343"/>
    <s v="Avril"/>
    <n v="29"/>
    <s v="Raynaud de Fay"/>
    <s v="Homo-licgius, justitabilis et expletabilis"/>
    <x v="1"/>
    <s v="Non"/>
    <s v="Oui"/>
    <s v="Oui"/>
    <s v="Oui"/>
    <s v="Non"/>
    <s v="Avec bœufs et animaux"/>
    <s v="Contractus emphiteotitarii"/>
    <x v="3"/>
    <x v="2"/>
    <x v="2"/>
    <x v="1"/>
    <x v="0"/>
    <x v="1"/>
    <x v="0"/>
    <x v="4"/>
    <x v="0"/>
    <x v="0"/>
    <x v="0"/>
    <s v="Non"/>
    <x v="0"/>
    <x v="0"/>
    <x v="0"/>
    <x v="0"/>
    <x v="0"/>
    <x v="0"/>
    <x v="0"/>
    <x v="0"/>
    <x v="0"/>
    <x v="0"/>
    <x v="0"/>
    <x v="0"/>
    <x v="0"/>
    <x v="0"/>
    <x v="0"/>
    <x v="0"/>
    <x v="0"/>
    <x v="0"/>
    <x v="0"/>
    <x v="0"/>
    <x v="0"/>
    <x v="0"/>
    <x v="0"/>
    <x v="0"/>
    <x v="0"/>
    <x v="0"/>
    <x v="0"/>
    <x v="0"/>
    <x v="0"/>
    <x v="1"/>
    <m/>
    <m/>
    <s v="Loco et territorio de Las Ruschas"/>
    <s v="Femme"/>
    <s v="Borzeza"/>
    <n v="0.16666666666666666"/>
    <n v="0"/>
    <n v="0"/>
    <n v="0"/>
    <n v="0"/>
    <n v="0"/>
    <n v="7.666666666666667"/>
    <n v="0"/>
    <n v="0"/>
    <n v="0"/>
    <n v="0"/>
    <n v="0"/>
    <n v="0"/>
    <n v="2.5"/>
    <n v="0"/>
    <n v="0"/>
    <n v="0"/>
    <n v="0"/>
    <n v="0"/>
    <n v="0"/>
    <n v="0"/>
    <n v="0"/>
    <n v="0"/>
    <n v="0"/>
    <m/>
    <n v="6"/>
    <n v="-1"/>
    <n v="0"/>
    <n v="0"/>
    <n v="0"/>
    <s v="Pro hiis que hec et tenit in loco de Lasruschas"/>
    <s v="Toussaint"/>
    <m/>
    <s v="De senhoria domino et juridictione castri Devesseti"/>
    <s v="Devesset, in turre supra portam"/>
    <s v="Girandus Girandi de Pulinaco"/>
    <s v="Petro de Casalibus"/>
    <s v="Matheo Morelli Ruppe Paula"/>
    <s v="Petro Porronis"/>
    <m/>
    <m/>
    <s v="In quadam compositione olim facta inter dominum aniciensis episcopum et domum Devesseti"/>
  </r>
  <r>
    <n v="621"/>
    <m/>
    <s v="Valentinus"/>
    <s v="De Las Ruschas"/>
    <x v="43"/>
    <m/>
    <m/>
    <m/>
    <s v="H"/>
    <n v="1343"/>
    <s v="Avril"/>
    <n v="29"/>
    <s v="Raynaud de Fay"/>
    <s v="Homo-licgius, justitabilis et expletabilis"/>
    <x v="1"/>
    <s v="Non"/>
    <s v="Oui"/>
    <s v="Oui"/>
    <s v="Oui"/>
    <s v="Non"/>
    <s v="Avec bœufs et animaux"/>
    <s v="Contractus emphiteotitarii"/>
    <x v="3"/>
    <x v="0"/>
    <x v="2"/>
    <x v="0"/>
    <x v="0"/>
    <x v="0"/>
    <x v="0"/>
    <x v="4"/>
    <x v="0"/>
    <x v="0"/>
    <x v="0"/>
    <s v="Non"/>
    <x v="0"/>
    <x v="0"/>
    <x v="0"/>
    <x v="0"/>
    <x v="0"/>
    <x v="0"/>
    <x v="0"/>
    <x v="0"/>
    <x v="0"/>
    <x v="0"/>
    <x v="0"/>
    <x v="0"/>
    <x v="0"/>
    <x v="0"/>
    <x v="0"/>
    <x v="0"/>
    <x v="0"/>
    <x v="0"/>
    <x v="0"/>
    <x v="0"/>
    <x v="0"/>
    <x v="0"/>
    <x v="0"/>
    <x v="0"/>
    <x v="0"/>
    <x v="0"/>
    <x v="0"/>
    <x v="0"/>
    <x v="0"/>
    <x v="1"/>
    <m/>
    <m/>
    <s v="Loco et territorio de Las Ruschas"/>
    <m/>
    <s v="Devesset"/>
    <n v="0.16666666666666666"/>
    <n v="0"/>
    <n v="0"/>
    <n v="0"/>
    <n v="0"/>
    <n v="0"/>
    <n v="1.6428571428571428"/>
    <n v="0"/>
    <n v="0"/>
    <n v="0"/>
    <n v="0"/>
    <n v="0"/>
    <n v="0"/>
    <n v="1"/>
    <n v="0"/>
    <n v="0"/>
    <n v="0"/>
    <n v="0"/>
    <n v="0"/>
    <n v="0"/>
    <n v="0"/>
    <n v="0"/>
    <n v="0"/>
    <n v="0"/>
    <m/>
    <n v="1.6666666666666667"/>
    <n v="0"/>
    <n v="0"/>
    <n v="0"/>
    <n v="0"/>
    <m/>
    <s v="Toussaint"/>
    <m/>
    <s v="De juridictione et dominatione castri seu domus Devesseti"/>
    <s v="Devesset, in turre supra portam"/>
    <s v="Girandus Girandi de Pulinaco"/>
    <s v="Petro de Casalibus"/>
    <s v="Matheo Morelli Ruppe Paula"/>
    <s v="Petro Porronis"/>
    <m/>
    <m/>
    <s v="In quadam compositione olim facta inter dominum aniciensis episcopum et domum Devesseti"/>
  </r>
  <r>
    <n v="651"/>
    <m/>
    <s v="Johannis"/>
    <s v="De Las Ruschas"/>
    <x v="43"/>
    <m/>
    <s v="Filius Johanis de Lasruschas condam"/>
    <s v="Pro suis sororibus et fratribus"/>
    <s v="H"/>
    <n v="1343"/>
    <s v="Avril"/>
    <n v="29"/>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m/>
    <s v="Prato et petia"/>
    <s v="Loco et territorio de Las Ruschas"/>
    <s v="Frères et sœurs"/>
    <s v="Tence et Devesset"/>
    <n v="0.16666666666666666"/>
    <n v="0"/>
    <n v="0"/>
    <n v="0"/>
    <n v="0"/>
    <n v="0"/>
    <n v="2.583333333333333"/>
    <n v="0"/>
    <n v="0"/>
    <n v="0"/>
    <n v="0"/>
    <n v="0"/>
    <n v="0"/>
    <n v="0"/>
    <n v="0"/>
    <n v="0"/>
    <n v="0"/>
    <n v="0"/>
    <n v="0"/>
    <n v="0"/>
    <n v="0"/>
    <n v="0"/>
    <n v="0"/>
    <n v="0"/>
    <s v="Prato et petia + prato + nomine eius fratre"/>
    <n v="1.9166666666666667"/>
    <n v="0"/>
    <n v="0"/>
    <n v="0"/>
    <n v="0"/>
    <m/>
    <s v="Toussaint"/>
    <s v="De juridictine et senhoria"/>
    <s v="Castri Devesseti"/>
    <s v="Devesset, in turre supra portam"/>
    <s v="Girandus Girandi de Pulinaco"/>
    <s v="Petro de Casalibus"/>
    <s v="Matheo Morelli Ruppe Paula"/>
    <s v="Petro Porronis"/>
    <m/>
    <m/>
    <s v="In quadam compositione olim facta inter dominum aniciensis episcopum et domum Devesseti"/>
  </r>
  <r>
    <n v="661"/>
    <m/>
    <s v="Michael"/>
    <s v="De Las Ruschas"/>
    <x v="43"/>
    <m/>
    <m/>
    <m/>
    <s v="H"/>
    <n v="1343"/>
    <s v="Avril"/>
    <n v="29"/>
    <s v="Raynaud de Fay"/>
    <s v="Homo-licgius, justitabilis et expletabilis"/>
    <x v="1"/>
    <s v="Non"/>
    <s v="Oui"/>
    <s v="Oui"/>
    <s v="Oui"/>
    <s v="Non"/>
    <s v="Avec bœufs et animaux"/>
    <s v="Contractus emphiteotitarii"/>
    <x v="2"/>
    <x v="0"/>
    <x v="0"/>
    <x v="0"/>
    <x v="0"/>
    <x v="0"/>
    <x v="0"/>
    <x v="4"/>
    <x v="0"/>
    <x v="0"/>
    <x v="0"/>
    <s v="Non"/>
    <x v="0"/>
    <x v="0"/>
    <x v="0"/>
    <x v="0"/>
    <x v="0"/>
    <x v="0"/>
    <x v="0"/>
    <x v="0"/>
    <x v="0"/>
    <x v="0"/>
    <x v="0"/>
    <x v="0"/>
    <x v="0"/>
    <x v="0"/>
    <x v="0"/>
    <x v="0"/>
    <x v="0"/>
    <x v="0"/>
    <x v="0"/>
    <x v="0"/>
    <x v="0"/>
    <x v="0"/>
    <x v="0"/>
    <x v="0"/>
    <x v="0"/>
    <x v="0"/>
    <x v="0"/>
    <x v="0"/>
    <x v="0"/>
    <x v="1"/>
    <m/>
    <s v="Domos"/>
    <s v="Loco et territorio de Las Ruschas"/>
    <s v="Femme"/>
    <s v="Tence et Devesset ou Borzeza"/>
    <n v="0.30952380952380953"/>
    <n v="0"/>
    <n v="0"/>
    <n v="0"/>
    <n v="0"/>
    <n v="0"/>
    <n v="6.583333333333333"/>
    <n v="0"/>
    <n v="0"/>
    <n v="0"/>
    <n v="0"/>
    <n v="0"/>
    <n v="0"/>
    <n v="2.5"/>
    <n v="1"/>
    <n v="0"/>
    <n v="0"/>
    <n v="0"/>
    <n v="0"/>
    <n v="0"/>
    <n v="0"/>
    <n v="0"/>
    <n v="0"/>
    <n v="0"/>
    <s v="Possessiones quas tenet nomine uxoris sue in loco et territorio de Masalibrant"/>
    <n v="6.0833333333333339"/>
    <n v="0"/>
    <n v="0"/>
    <n v="0"/>
    <n v="0"/>
    <m/>
    <s v="Toussaint"/>
    <m/>
    <s v="De juridictione castri Devesseti"/>
    <s v="Devesset, in turre supra portam"/>
    <s v="Girandus Girandi de Pulinaco"/>
    <s v="Petro de Casalibus"/>
    <s v="Matheo Morelli Ruppe Paula"/>
    <s v="Petro Porronis"/>
    <m/>
    <m/>
    <s v="In quadam compositione olim facta inter dominum aniciensis episcopum et domum Devesseti"/>
  </r>
  <r>
    <n v="1651"/>
    <m/>
    <s v="Vitalis"/>
    <s v="Comptoris"/>
    <x v="44"/>
    <m/>
    <m/>
    <s v="Nomine Beatricis eius uxoris"/>
    <s v="H"/>
    <n v="1343"/>
    <s v="Avril"/>
    <n v="4"/>
    <s v="Raynaud de Fay"/>
    <s v="Promisit esse bonus et fidelis tenementarius domum Devesseti"/>
    <x v="0"/>
    <m/>
    <m/>
    <m/>
    <m/>
    <m/>
    <m/>
    <s v="Constractus emphiteotarii"/>
    <x v="0"/>
    <x v="0"/>
    <x v="1"/>
    <x v="0"/>
    <x v="3"/>
    <x v="0"/>
    <x v="0"/>
    <x v="4"/>
    <x v="0"/>
    <x v="0"/>
    <x v="0"/>
    <s v="Non"/>
    <x v="0"/>
    <x v="0"/>
    <x v="0"/>
    <x v="0"/>
    <x v="0"/>
    <x v="0"/>
    <x v="0"/>
    <x v="0"/>
    <x v="0"/>
    <x v="0"/>
    <x v="0"/>
    <x v="0"/>
    <x v="0"/>
    <x v="0"/>
    <x v="0"/>
    <x v="0"/>
    <x v="0"/>
    <x v="0"/>
    <x v="0"/>
    <x v="0"/>
    <x v="0"/>
    <x v="0"/>
    <x v="0"/>
    <x v="0"/>
    <x v="0"/>
    <x v="0"/>
    <x v="0"/>
    <x v="0"/>
    <x v="0"/>
    <x v="0"/>
    <m/>
    <s v="2 terre petiam + pratum + nemus"/>
    <m/>
    <m/>
    <s v="Devesset"/>
    <n v="0"/>
    <n v="0"/>
    <n v="0"/>
    <n v="0"/>
    <n v="0"/>
    <n v="0"/>
    <n v="1"/>
    <n v="0"/>
    <n v="0"/>
    <n v="0"/>
    <n v="0"/>
    <n v="0"/>
    <n v="0"/>
    <n v="0"/>
    <n v="0"/>
    <n v="0"/>
    <n v="0"/>
    <n v="1.2"/>
    <n v="0"/>
    <n v="0"/>
    <n v="0"/>
    <n v="0"/>
    <n v="0"/>
    <n v="0"/>
    <m/>
    <n v="1.0833333333333333"/>
    <n v="1"/>
    <n v="0"/>
    <n v="0"/>
    <n v="0"/>
    <m/>
    <s v="Toussaint"/>
    <s v="Mero et mixto imperio"/>
    <s v="De mandamento et in mandamento et omnimoda juridictione castri Devesseti"/>
    <s v="Devesset, in turre supra portam"/>
    <s v="Girandus Girandi de Pulinaco"/>
    <s v="Fratre Johanne Meruli"/>
    <s v="Matheo Morelli de Ruppe Paula"/>
    <m/>
    <m/>
    <m/>
    <m/>
  </r>
  <r>
    <n v="1661"/>
    <m/>
    <s v="Columbeta"/>
    <s v="De Hereo"/>
    <x v="44"/>
    <m/>
    <s v="Filia Guillermi de Hereo condam"/>
    <m/>
    <s v="F"/>
    <n v="1343"/>
    <s v="Avril"/>
    <n v="4"/>
    <s v="Raynaud de Fay"/>
    <s v="Promisit esse fidelis tenementarius domus Devesseti"/>
    <x v="0"/>
    <m/>
    <m/>
    <m/>
    <m/>
    <m/>
    <m/>
    <s v="Constractus emphiteotarii"/>
    <x v="0"/>
    <x v="0"/>
    <x v="0"/>
    <x v="0"/>
    <x v="3"/>
    <x v="0"/>
    <x v="4"/>
    <x v="4"/>
    <x v="0"/>
    <x v="0"/>
    <x v="0"/>
    <s v="Non"/>
    <x v="0"/>
    <x v="0"/>
    <x v="0"/>
    <x v="0"/>
    <x v="0"/>
    <x v="0"/>
    <x v="0"/>
    <x v="2"/>
    <x v="0"/>
    <x v="0"/>
    <x v="0"/>
    <x v="0"/>
    <x v="0"/>
    <x v="0"/>
    <x v="0"/>
    <x v="0"/>
    <x v="0"/>
    <x v="0"/>
    <x v="0"/>
    <x v="0"/>
    <x v="0"/>
    <x v="0"/>
    <x v="0"/>
    <x v="0"/>
    <x v="0"/>
    <x v="0"/>
    <x v="0"/>
    <x v="0"/>
    <x v="0"/>
    <x v="0"/>
    <m/>
    <s v="3 petiam terre + petiam + nemus + pasturale"/>
    <m/>
    <m/>
    <s v="Devesset"/>
    <n v="0"/>
    <n v="0"/>
    <n v="0"/>
    <n v="0"/>
    <n v="0"/>
    <n v="1"/>
    <n v="0"/>
    <n v="0"/>
    <n v="0"/>
    <n v="0"/>
    <n v="0"/>
    <n v="0"/>
    <n v="0"/>
    <n v="0"/>
    <n v="1"/>
    <n v="0"/>
    <n v="0"/>
    <n v="1.2"/>
    <n v="0"/>
    <n v="0"/>
    <n v="0"/>
    <n v="0"/>
    <n v="0"/>
    <n v="0"/>
    <m/>
    <n v="1.0833333333333333"/>
    <n v="1"/>
    <n v="0"/>
    <n v="0"/>
    <n v="0"/>
    <m/>
    <s v="Toussaint"/>
    <s v="Alta et bassa justicia"/>
    <s v="De omnimoda juridictione castri Devesseti et eius mandamentum"/>
    <s v="Devesset, in turre supra portam"/>
    <s v="Girandus Girandi de Pulinaco"/>
    <s v="Fratre Johanne Meruli"/>
    <s v="Matheo Morelli de Ruppe Paula"/>
    <m/>
    <m/>
    <m/>
    <m/>
  </r>
  <r>
    <n v="1671"/>
    <m/>
    <s v="Johanneta"/>
    <s v="De Hereo"/>
    <x v="44"/>
    <m/>
    <s v="Filia Peyruchonis de Hereo"/>
    <m/>
    <s v="F"/>
    <n v="1343"/>
    <s v="Avril"/>
    <n v="4"/>
    <s v="Raynaud de Fay"/>
    <s v="Promisit esse fidelis tenementarius domus Devesseti"/>
    <x v="0"/>
    <m/>
    <m/>
    <m/>
    <m/>
    <m/>
    <m/>
    <s v="Constractus emphiteotarii"/>
    <x v="0"/>
    <x v="0"/>
    <x v="2"/>
    <x v="0"/>
    <x v="4"/>
    <x v="0"/>
    <x v="4"/>
    <x v="4"/>
    <x v="0"/>
    <x v="0"/>
    <x v="0"/>
    <s v="Non"/>
    <x v="0"/>
    <x v="0"/>
    <x v="0"/>
    <x v="0"/>
    <x v="0"/>
    <x v="0"/>
    <x v="0"/>
    <x v="2"/>
    <x v="0"/>
    <x v="0"/>
    <x v="0"/>
    <x v="0"/>
    <x v="0"/>
    <x v="0"/>
    <x v="0"/>
    <x v="0"/>
    <x v="0"/>
    <x v="0"/>
    <x v="0"/>
    <x v="0"/>
    <x v="0"/>
    <x v="0"/>
    <x v="0"/>
    <x v="0"/>
    <x v="0"/>
    <x v="0"/>
    <x v="0"/>
    <x v="0"/>
    <x v="0"/>
    <x v="0"/>
    <m/>
    <s v="3 petiam terre + 2 nemoris + pasturale + pratis + petia"/>
    <m/>
    <m/>
    <s v="Devesset"/>
    <n v="0"/>
    <n v="0"/>
    <n v="0"/>
    <n v="0"/>
    <n v="0"/>
    <n v="0"/>
    <n v="1"/>
    <n v="0"/>
    <n v="0"/>
    <n v="0"/>
    <n v="0"/>
    <n v="0"/>
    <n v="0"/>
    <n v="0"/>
    <n v="0"/>
    <n v="0"/>
    <n v="0"/>
    <n v="5.2"/>
    <n v="0"/>
    <n v="0"/>
    <n v="0"/>
    <n v="0"/>
    <n v="0"/>
    <n v="0"/>
    <m/>
    <n v="1.0833333333333333"/>
    <n v="1"/>
    <n v="0"/>
    <n v="0"/>
    <n v="0"/>
    <m/>
    <s v="Toussaint"/>
    <s v="Mero et mixto imperio"/>
    <s v="De mandamento et infra mandamento et de juridictione domus seu castri Devesset"/>
    <s v="Devesset, in turre supra portam"/>
    <s v="Girandus Girandi de Pulinaco"/>
    <s v="Fratre Johanne Meruli"/>
    <s v="Matheo Morelli de Ruppe Paula"/>
    <m/>
    <m/>
    <m/>
    <m/>
  </r>
  <r>
    <n v="1681"/>
    <m/>
    <s v="Guillermus"/>
    <s v="Lo Subs de Hereone"/>
    <x v="44"/>
    <m/>
    <s v="Filius Nicholay de Hereone condam"/>
    <m/>
    <s v="H"/>
    <n v="1343"/>
    <s v="Avril"/>
    <n v="16"/>
    <s v="Raynaud de Fay"/>
    <s v="Promisit esse fidelis tenementarius domus Devesseti"/>
    <x v="0"/>
    <m/>
    <m/>
    <m/>
    <m/>
    <m/>
    <m/>
    <s v="Constractus emphiteotarii"/>
    <x v="0"/>
    <x v="0"/>
    <x v="1"/>
    <x v="3"/>
    <x v="0"/>
    <x v="0"/>
    <x v="5"/>
    <x v="4"/>
    <x v="0"/>
    <x v="0"/>
    <x v="0"/>
    <s v="Non"/>
    <x v="0"/>
    <x v="0"/>
    <x v="0"/>
    <x v="0"/>
    <x v="0"/>
    <x v="0"/>
    <x v="0"/>
    <x v="0"/>
    <x v="0"/>
    <x v="0"/>
    <x v="0"/>
    <x v="0"/>
    <x v="0"/>
    <x v="0"/>
    <x v="0"/>
    <x v="0"/>
    <x v="0"/>
    <x v="0"/>
    <x v="0"/>
    <x v="0"/>
    <x v="0"/>
    <x v="0"/>
    <x v="0"/>
    <x v="0"/>
    <x v="2"/>
    <x v="0"/>
    <x v="0"/>
    <x v="0"/>
    <x v="0"/>
    <x v="0"/>
    <m/>
    <s v="2 pasturale + bessetam + jus terre + pratum + terra + campum"/>
    <m/>
    <m/>
    <s v="Devesset"/>
    <n v="0"/>
    <n v="0"/>
    <n v="0"/>
    <n v="0"/>
    <n v="0"/>
    <n v="0"/>
    <n v="1"/>
    <n v="0"/>
    <n v="0"/>
    <n v="0"/>
    <n v="0"/>
    <n v="0"/>
    <n v="0"/>
    <n v="0"/>
    <n v="1.5"/>
    <n v="0"/>
    <n v="0"/>
    <n v="0"/>
    <n v="0"/>
    <n v="0"/>
    <n v="0"/>
    <n v="0"/>
    <n v="0"/>
    <n v="0"/>
    <m/>
    <n v="1"/>
    <n v="0"/>
    <n v="0"/>
    <n v="0"/>
    <n v="0"/>
    <m/>
    <s v="Toussaint"/>
    <s v="Mero et mixto imperio"/>
    <s v="De mandamento et in mandamento et juridictione castri Devesseti"/>
    <s v="Devesset, sub estram"/>
    <s v="Girandus Girandi de Pulinaco"/>
    <s v="Petro de Ruppe"/>
    <s v="Al' Malpinha"/>
    <s v="Petri Aloayterii clerico"/>
    <m/>
    <m/>
    <m/>
  </r>
  <r>
    <n v="1691"/>
    <m/>
    <s v="Andrena"/>
    <s v="De Hereone"/>
    <x v="44"/>
    <m/>
    <s v="Filia Guillermi de Hereone"/>
    <m/>
    <s v="F"/>
    <n v="1343"/>
    <s v="Avril"/>
    <n v="16"/>
    <s v="Raynaud de Fay"/>
    <s v="Promisit esse fidelis tenementarius domus Devesseti"/>
    <x v="0"/>
    <m/>
    <m/>
    <m/>
    <m/>
    <m/>
    <m/>
    <s v="Constractus emphiteotarii"/>
    <x v="0"/>
    <x v="0"/>
    <x v="1"/>
    <x v="0"/>
    <x v="0"/>
    <x v="0"/>
    <x v="0"/>
    <x v="4"/>
    <x v="0"/>
    <x v="0"/>
    <x v="0"/>
    <s v="Non"/>
    <x v="0"/>
    <x v="0"/>
    <x v="0"/>
    <x v="0"/>
    <x v="0"/>
    <x v="0"/>
    <x v="0"/>
    <x v="0"/>
    <x v="0"/>
    <x v="0"/>
    <x v="0"/>
    <x v="0"/>
    <x v="0"/>
    <x v="0"/>
    <x v="0"/>
    <x v="0"/>
    <x v="0"/>
    <x v="0"/>
    <x v="0"/>
    <x v="0"/>
    <x v="0"/>
    <x v="0"/>
    <x v="0"/>
    <x v="0"/>
    <x v="2"/>
    <x v="0"/>
    <x v="0"/>
    <x v="0"/>
    <x v="0"/>
    <x v="0"/>
    <m/>
    <s v="Bessetam + 3 terra + pratum + jus terre"/>
    <m/>
    <m/>
    <s v="Devesset"/>
    <n v="0"/>
    <n v="0"/>
    <n v="0"/>
    <n v="0"/>
    <n v="0"/>
    <n v="0"/>
    <n v="1"/>
    <n v="0"/>
    <n v="0"/>
    <n v="0"/>
    <n v="0"/>
    <n v="0"/>
    <n v="0"/>
    <n v="0"/>
    <n v="1"/>
    <n v="0"/>
    <n v="0"/>
    <n v="1.2"/>
    <n v="0"/>
    <n v="0"/>
    <n v="0"/>
    <n v="0"/>
    <n v="0"/>
    <n v="0"/>
    <m/>
    <n v="1.0833333333333333"/>
    <n v="1"/>
    <n v="0"/>
    <n v="0"/>
    <n v="0"/>
    <m/>
    <s v="Toussaint"/>
    <s v="Mero et mixto imperio"/>
    <s v="De mandamento et infra mandamento castri Devesset"/>
    <s v="Devesset, sub extram"/>
    <s v="Girandus Girandi de Pulinaco"/>
    <s v="Bernardo de Ruppe clerico"/>
    <s v="Johanne Sabaterii de Chambone"/>
    <s v="Armandia"/>
    <m/>
    <m/>
    <m/>
  </r>
  <r>
    <n v="301"/>
    <m/>
    <s v="Johane"/>
    <s v="Raymundi de Macello"/>
    <x v="45"/>
    <m/>
    <m/>
    <m/>
    <s v="H"/>
    <n v="1343"/>
    <s v="Avril"/>
    <n v="2"/>
    <s v="Raynaud de Fay"/>
    <m/>
    <x v="0"/>
    <s v="Non"/>
    <s v="Non"/>
    <s v="Non"/>
    <s v="Non"/>
    <s v="Non"/>
    <m/>
    <m/>
    <x v="0"/>
    <x v="0"/>
    <x v="0"/>
    <x v="1"/>
    <x v="0"/>
    <x v="0"/>
    <x v="1"/>
    <x v="1"/>
    <x v="0"/>
    <x v="0"/>
    <x v="0"/>
    <s v="Non"/>
    <x v="4"/>
    <x v="0"/>
    <x v="0"/>
    <x v="0"/>
    <x v="0"/>
    <x v="0"/>
    <x v="0"/>
    <x v="0"/>
    <x v="0"/>
    <x v="0"/>
    <x v="0"/>
    <x v="0"/>
    <x v="0"/>
    <x v="0"/>
    <x v="0"/>
    <x v="0"/>
    <x v="0"/>
    <x v="0"/>
    <x v="0"/>
    <x v="0"/>
    <x v="0"/>
    <x v="0"/>
    <x v="0"/>
    <x v="0"/>
    <x v="0"/>
    <x v="0"/>
    <x v="0"/>
    <x v="0"/>
    <x v="0"/>
    <x v="0"/>
    <m/>
    <s v="Parte sue teritorii Dens Clotz + Parte calme vocate Dens Bayilh sita in territorio de Maysonetis"/>
    <m/>
    <m/>
    <s v="Tence"/>
    <n v="0"/>
    <n v="0"/>
    <n v="0"/>
    <n v="0"/>
    <n v="0"/>
    <n v="0"/>
    <n v="0"/>
    <n v="0"/>
    <n v="0"/>
    <n v="0"/>
    <n v="0"/>
    <n v="0"/>
    <n v="0"/>
    <n v="1"/>
    <n v="0"/>
    <n v="0"/>
    <n v="0"/>
    <n v="0"/>
    <n v="0"/>
    <n v="0"/>
    <n v="0"/>
    <n v="0"/>
    <n v="0"/>
    <n v="0"/>
    <s v="Autres"/>
    <n v="0.33333333333333331"/>
    <n v="0"/>
    <n v="3.5"/>
    <n v="0"/>
    <n v="0"/>
    <m/>
    <s v="Toussaint"/>
    <s v="Merum et mixtum imperium "/>
    <s v="Mandamentum et juridictione castri seu loci de Chalmariais"/>
    <s v="Devesset, in turre supra portam"/>
    <s v="Girandus Girandi de Pulinaco"/>
    <s v="Armando de Villa Nova Devesseti"/>
    <s v="Petro Boata filio Johanis […]  de Tensano"/>
    <s v="Johanne de Laschalins"/>
    <m/>
    <m/>
    <m/>
  </r>
  <r>
    <n v="1851"/>
    <m/>
    <s v="Guillermis"/>
    <s v="Brossonis"/>
    <x v="46"/>
    <s v="Parrochie Del Posit"/>
    <m/>
    <m/>
    <s v="H"/>
    <n v="1344"/>
    <s v="Mai"/>
    <n v="10"/>
    <s v="Raynaud de Fay"/>
    <s v="Promisit esse fidelis tenementarius domus Devesseti"/>
    <x v="0"/>
    <m/>
    <m/>
    <m/>
    <m/>
    <m/>
    <m/>
    <m/>
    <x v="0"/>
    <x v="0"/>
    <x v="1"/>
    <x v="0"/>
    <x v="0"/>
    <x v="0"/>
    <x v="0"/>
    <x v="4"/>
    <x v="0"/>
    <x v="0"/>
    <x v="0"/>
    <s v="Non"/>
    <x v="0"/>
    <x v="0"/>
    <x v="0"/>
    <x v="0"/>
    <x v="0"/>
    <x v="0"/>
    <x v="0"/>
    <x v="6"/>
    <x v="0"/>
    <x v="0"/>
    <x v="0"/>
    <x v="0"/>
    <x v="0"/>
    <x v="0"/>
    <x v="0"/>
    <x v="0"/>
    <x v="0"/>
    <x v="0"/>
    <x v="0"/>
    <x v="0"/>
    <x v="0"/>
    <x v="0"/>
    <x v="0"/>
    <x v="0"/>
    <x v="0"/>
    <x v="0"/>
    <x v="0"/>
    <x v="0"/>
    <x v="0"/>
    <x v="0"/>
    <m/>
    <s v="2 petiam + pratum + terre petiam + terram"/>
    <m/>
    <m/>
    <s v="Chalencon"/>
    <n v="1"/>
    <n v="0"/>
    <n v="0"/>
    <n v="0"/>
    <n v="0"/>
    <n v="0"/>
    <n v="0"/>
    <n v="9"/>
    <n v="0"/>
    <n v="0"/>
    <n v="0"/>
    <n v="0"/>
    <n v="0"/>
    <n v="0"/>
    <n v="9"/>
    <n v="0"/>
    <n v="0"/>
    <n v="0"/>
    <n v="0"/>
    <n v="0"/>
    <n v="0"/>
    <n v="0"/>
    <n v="0"/>
    <n v="0"/>
    <m/>
    <n v="0.16666666666666666"/>
    <n v="0"/>
    <n v="0"/>
    <n v="0"/>
    <n v="0"/>
    <m/>
    <s v="Toussaint"/>
    <m/>
    <m/>
    <s v="Saint-Agrève, in hospicio Stephani Brossonis"/>
    <s v="Girandus Girandi de Pulinaco"/>
    <s v="Johanne Fabri Habitatore Ruppispaule"/>
    <s v="Sacobo Fabri de Mundo habitator Ruppispaule"/>
    <s v="Martine de Balinis"/>
    <s v="Guillermo Grosseti"/>
    <s v="Guillermo Lo sub sive Salvaynh"/>
    <m/>
  </r>
  <r>
    <n v="1031"/>
    <s v="Et 1041"/>
    <s v="Johannes"/>
    <s v="De Malagayta"/>
    <x v="47"/>
    <m/>
    <s v="Filius Nicholaii de Malagayta condam"/>
    <m/>
    <s v="H"/>
    <n v="1343"/>
    <s v="Mai"/>
    <n v="13"/>
    <s v="Raynaud de Fay"/>
    <s v="Homo-licgius, justitabilis et expletabilis"/>
    <x v="1"/>
    <s v="Non"/>
    <s v="Oui"/>
    <s v="Oui"/>
    <s v="Oui"/>
    <s v="Non"/>
    <s v="Avec bœufs et animaux"/>
    <s v="Contractus emphiteotitarii"/>
    <x v="2"/>
    <x v="2"/>
    <x v="2"/>
    <x v="0"/>
    <x v="3"/>
    <x v="0"/>
    <x v="0"/>
    <x v="4"/>
    <x v="0"/>
    <x v="0"/>
    <x v="0"/>
    <s v="Non"/>
    <x v="0"/>
    <x v="0"/>
    <x v="0"/>
    <x v="0"/>
    <x v="0"/>
    <x v="0"/>
    <x v="0"/>
    <x v="0"/>
    <x v="0"/>
    <x v="0"/>
    <x v="0"/>
    <x v="0"/>
    <x v="0"/>
    <x v="0"/>
    <x v="0"/>
    <x v="0"/>
    <x v="0"/>
    <x v="0"/>
    <x v="0"/>
    <x v="0"/>
    <x v="0"/>
    <x v="0"/>
    <x v="0"/>
    <x v="0"/>
    <x v="0"/>
    <x v="0"/>
    <x v="0"/>
    <x v="0"/>
    <x v="0"/>
    <x v="1"/>
    <m/>
    <s v="Domos + ortos + possessiones + pratis + pasturalibus + terra + petie terra"/>
    <s v="Loco et territorio de Malagayta"/>
    <m/>
    <s v="Fay"/>
    <n v="1"/>
    <n v="0"/>
    <n v="0"/>
    <n v="0"/>
    <n v="0"/>
    <n v="0"/>
    <n v="2"/>
    <n v="1"/>
    <n v="0"/>
    <n v="0"/>
    <n v="0"/>
    <n v="0"/>
    <n v="0"/>
    <n v="0"/>
    <n v="4"/>
    <n v="0"/>
    <n v="0"/>
    <n v="0"/>
    <n v="0"/>
    <n v="0"/>
    <n v="0"/>
    <n v="0"/>
    <n v="0"/>
    <n v="0"/>
    <s v="Pratis et pasturallibus + terra + petie terra"/>
    <n v="6.25"/>
    <n v="0"/>
    <n v="0"/>
    <n v="0"/>
    <n v="0"/>
    <m/>
    <s v="Toussaint"/>
    <s v="De juridictione et senhoria"/>
    <s v="Castri Devesseti"/>
    <s v="Devesset, in turre supra portam"/>
    <s v="Girandus Girandi de Pulinaco"/>
    <s v="Eustachio de Quinteato domicelli"/>
    <s v="Guillermo filio Johannis de Crosto"/>
    <s v="Mattheo Matinerii"/>
    <m/>
    <m/>
    <s v="in compositione olim facta inter domum Devesseti et domini catri Fayni condam"/>
  </r>
  <r>
    <n v="1051"/>
    <m/>
    <s v="Johannes"/>
    <s v="De Malagayta"/>
    <x v="47"/>
    <m/>
    <s v="Filius Stephani de Malagayta"/>
    <s v="Et fratres sui"/>
    <s v="H"/>
    <n v="1343"/>
    <s v="Mai"/>
    <n v="13"/>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m/>
    <s v="Domum"/>
    <s v="Loco et territorio et pertinentiis loci de Malagayta"/>
    <m/>
    <s v="Fay"/>
    <n v="1"/>
    <n v="0"/>
    <n v="0"/>
    <n v="0"/>
    <n v="0"/>
    <n v="0"/>
    <n v="0.5"/>
    <n v="3"/>
    <n v="1"/>
    <n v="0"/>
    <n v="0"/>
    <n v="0"/>
    <n v="0"/>
    <n v="0"/>
    <n v="6"/>
    <n v="0"/>
    <n v="0"/>
    <n v="0"/>
    <n v="0"/>
    <n v="0"/>
    <n v="0"/>
    <n v="0"/>
    <n v="0"/>
    <n v="0"/>
    <m/>
    <n v="8.5833333333333339"/>
    <n v="0"/>
    <n v="0"/>
    <n v="0"/>
    <n v="0"/>
    <m/>
    <s v="Toussaint"/>
    <s v="De juridictione et senhoria"/>
    <s v="Domus seu castri Devesseti"/>
    <s v="Devesset, in turre supra portam"/>
    <s v="Girandus Girandi de Pulinaco"/>
    <s v="Eustachio de Quinteato domicelli"/>
    <s v="Guillermo filio Johannis de Crosto"/>
    <s v="Mattheo Matinerii"/>
    <m/>
    <m/>
    <s v="in compositione olim facta inter domum Devesseti et domini catri Fayni condam"/>
  </r>
  <r>
    <n v="1061"/>
    <m/>
    <s v="Vitalis"/>
    <s v="De Malagayta"/>
    <x v="47"/>
    <m/>
    <m/>
    <s v="Pro ac nomine Blanchie eius uxoris"/>
    <s v="H"/>
    <n v="1343"/>
    <s v="Mai"/>
    <n v="13"/>
    <s v="Raynaud de Fay"/>
    <s v="Homo-licgius, justitabilis et expletabilis"/>
    <x v="1"/>
    <s v="Non"/>
    <s v="Oui"/>
    <s v="Oui"/>
    <s v="Oui"/>
    <s v="Non"/>
    <s v="Avec bœufs et animaux"/>
    <s v="Contractus emphiteotitarii"/>
    <x v="3"/>
    <x v="5"/>
    <x v="2"/>
    <x v="0"/>
    <x v="3"/>
    <x v="0"/>
    <x v="0"/>
    <x v="4"/>
    <x v="0"/>
    <x v="0"/>
    <x v="0"/>
    <s v="Non"/>
    <x v="0"/>
    <x v="0"/>
    <x v="0"/>
    <x v="0"/>
    <x v="0"/>
    <x v="0"/>
    <x v="0"/>
    <x v="0"/>
    <x v="0"/>
    <x v="0"/>
    <x v="0"/>
    <x v="0"/>
    <x v="0"/>
    <x v="0"/>
    <x v="0"/>
    <x v="0"/>
    <x v="0"/>
    <x v="0"/>
    <x v="0"/>
    <x v="0"/>
    <x v="0"/>
    <x v="0"/>
    <x v="0"/>
    <x v="0"/>
    <x v="0"/>
    <x v="0"/>
    <x v="0"/>
    <x v="0"/>
    <x v="0"/>
    <x v="1"/>
    <m/>
    <s v="Domum"/>
    <s v="Loco et territorio de Malagayta"/>
    <s v="Femme"/>
    <s v="Fay"/>
    <n v="1"/>
    <n v="0"/>
    <n v="0"/>
    <n v="0"/>
    <n v="0"/>
    <n v="0"/>
    <n v="0.5"/>
    <n v="0.5"/>
    <n v="0"/>
    <n v="0"/>
    <n v="0"/>
    <n v="0"/>
    <n v="0"/>
    <n v="0"/>
    <n v="0"/>
    <n v="0"/>
    <n v="0"/>
    <n v="0"/>
    <n v="0"/>
    <n v="0"/>
    <n v="0"/>
    <n v="0"/>
    <n v="0"/>
    <n v="0"/>
    <m/>
    <n v="1.9166666666666667"/>
    <n v="0"/>
    <n v="0"/>
    <n v="0"/>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71"/>
    <m/>
    <s v="Clemens"/>
    <s v="De Malagayta"/>
    <x v="47"/>
    <m/>
    <m/>
    <s v="Nomine Viricencii de Malagayta"/>
    <s v="H"/>
    <n v="1343"/>
    <s v="Mai"/>
    <n v="13"/>
    <s v="Raynaud de Fay"/>
    <s v="Homo-licgius, justitabilis et expletabilis"/>
    <x v="1"/>
    <s v="Non"/>
    <s v="Oui"/>
    <s v="Oui"/>
    <s v="Oui"/>
    <s v="Non"/>
    <s v="Avec bœufs et animaux"/>
    <s v="Contractus emphiteotitarii"/>
    <x v="2"/>
    <x v="2"/>
    <x v="0"/>
    <x v="0"/>
    <x v="0"/>
    <x v="0"/>
    <x v="0"/>
    <x v="4"/>
    <x v="0"/>
    <x v="0"/>
    <x v="0"/>
    <s v="Non"/>
    <x v="0"/>
    <x v="0"/>
    <x v="0"/>
    <x v="0"/>
    <x v="0"/>
    <x v="0"/>
    <x v="0"/>
    <x v="0"/>
    <x v="0"/>
    <x v="0"/>
    <x v="0"/>
    <x v="0"/>
    <x v="0"/>
    <x v="0"/>
    <x v="0"/>
    <x v="0"/>
    <x v="0"/>
    <x v="0"/>
    <x v="0"/>
    <x v="0"/>
    <x v="0"/>
    <x v="0"/>
    <x v="0"/>
    <x v="0"/>
    <x v="0"/>
    <x v="0"/>
    <x v="0"/>
    <x v="0"/>
    <x v="0"/>
    <x v="1"/>
    <m/>
    <s v="Domos + 2 terra + sanha"/>
    <s v="Loco et territorio de Malagayta"/>
    <s v="Quelqu'un"/>
    <s v="Fay"/>
    <n v="1"/>
    <n v="0"/>
    <n v="0"/>
    <n v="0"/>
    <n v="0"/>
    <n v="0"/>
    <n v="6.5"/>
    <n v="0"/>
    <n v="0"/>
    <n v="0"/>
    <n v="0"/>
    <n v="0"/>
    <n v="0"/>
    <n v="3.5"/>
    <n v="1"/>
    <n v="0"/>
    <n v="0"/>
    <n v="0"/>
    <n v="0"/>
    <n v="0"/>
    <n v="0"/>
    <n v="0"/>
    <n v="0"/>
    <n v="0"/>
    <s v="Terris + pratis et pasturalibus + 2 terra + sanha"/>
    <n v="18.75"/>
    <n v="0"/>
    <n v="0"/>
    <n v="0"/>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81"/>
    <m/>
    <s v="Johannes"/>
    <s v="De Malagayta"/>
    <x v="47"/>
    <m/>
    <s v="Filius Bartholomei de Malagayta"/>
    <s v="Pro Poncio et Guillermo eius amiculis"/>
    <s v="H"/>
    <n v="1343"/>
    <s v="Mai"/>
    <n v="13"/>
    <s v="Raynaud de Fay"/>
    <s v="Homo-licgius, justitabilis et expletabilis"/>
    <x v="1"/>
    <s v="Non"/>
    <s v="Oui"/>
    <s v="Oui"/>
    <s v="Oui"/>
    <s v="Non"/>
    <s v="Avec bœufs et animaux"/>
    <s v="Contractus emphiteotitarii"/>
    <x v="3"/>
    <x v="0"/>
    <x v="0"/>
    <x v="0"/>
    <x v="0"/>
    <x v="0"/>
    <x v="0"/>
    <x v="4"/>
    <x v="0"/>
    <x v="0"/>
    <x v="0"/>
    <s v="Non"/>
    <x v="0"/>
    <x v="0"/>
    <x v="0"/>
    <x v="0"/>
    <x v="0"/>
    <x v="0"/>
    <x v="0"/>
    <x v="0"/>
    <x v="0"/>
    <x v="0"/>
    <x v="0"/>
    <x v="0"/>
    <x v="0"/>
    <x v="0"/>
    <x v="0"/>
    <x v="0"/>
    <x v="0"/>
    <x v="0"/>
    <x v="0"/>
    <x v="0"/>
    <x v="0"/>
    <x v="0"/>
    <x v="0"/>
    <x v="0"/>
    <x v="0"/>
    <x v="0"/>
    <x v="0"/>
    <x v="0"/>
    <x v="0"/>
    <x v="1"/>
    <s v="Costat in notarii de tribus ut infra et deibus octo et oboli in duobus locis ita est"/>
    <s v="Domum"/>
    <s v="Loco et territorio de Malagayta et de Mas Feriol et de Daldega"/>
    <s v="Amiculis"/>
    <s v="Fay"/>
    <n v="1"/>
    <n v="0"/>
    <n v="0"/>
    <n v="0"/>
    <n v="0"/>
    <n v="0"/>
    <n v="3"/>
    <n v="1.3333333333333333"/>
    <n v="0"/>
    <n v="0"/>
    <n v="0"/>
    <n v="0"/>
    <n v="0"/>
    <n v="1"/>
    <n v="1.3333333333333333"/>
    <n v="0"/>
    <n v="0"/>
    <n v="0"/>
    <n v="0"/>
    <n v="0"/>
    <n v="0"/>
    <n v="0"/>
    <n v="0"/>
    <n v="0"/>
    <s v="Terris + pratis et pasturalibus"/>
    <n v="9.6666666666666661"/>
    <n v="1.3333333333333333"/>
    <n v="0"/>
    <n v="0"/>
    <n v="0"/>
    <s v="Pratis et possessionibus"/>
    <s v="Toussaint"/>
    <m/>
    <m/>
    <s v="Devesset, in turre supra portam"/>
    <s v="Girandus Girandi de Pulinaco"/>
    <s v="Eustachio de Quinteato domicelli"/>
    <s v="Guillermo filio Johannis de Crosto"/>
    <s v="Mattheo Matinerii"/>
    <m/>
    <m/>
    <m/>
  </r>
  <r>
    <n v="1091"/>
    <m/>
    <s v="Petrus"/>
    <s v="De Malagayta"/>
    <x v="47"/>
    <m/>
    <s v="Filius Guillermi de Malagayta condam"/>
    <s v="Pro Petro eius fratre"/>
    <s v="H"/>
    <n v="1343"/>
    <s v="Mai"/>
    <n v="13"/>
    <s v="Raynaud de Fay"/>
    <s v="Homo-licgius, justitabilis et expletabilis"/>
    <x v="1"/>
    <s v="Non"/>
    <s v="Oui"/>
    <s v="Oui"/>
    <s v="Oui"/>
    <s v="Non"/>
    <s v="Avec bœufs et animaux"/>
    <m/>
    <x v="2"/>
    <x v="0"/>
    <x v="0"/>
    <x v="0"/>
    <x v="0"/>
    <x v="0"/>
    <x v="0"/>
    <x v="1"/>
    <x v="0"/>
    <x v="0"/>
    <x v="0"/>
    <s v="Non"/>
    <x v="0"/>
    <x v="0"/>
    <x v="0"/>
    <x v="0"/>
    <x v="0"/>
    <x v="0"/>
    <x v="0"/>
    <x v="0"/>
    <x v="0"/>
    <x v="0"/>
    <x v="0"/>
    <x v="0"/>
    <x v="0"/>
    <x v="0"/>
    <x v="0"/>
    <x v="0"/>
    <x v="0"/>
    <x v="0"/>
    <x v="0"/>
    <x v="0"/>
    <x v="0"/>
    <x v="0"/>
    <x v="0"/>
    <x v="0"/>
    <x v="0"/>
    <x v="0"/>
    <x v="0"/>
    <x v="0"/>
    <x v="0"/>
    <x v="1"/>
    <m/>
    <s v="Domos"/>
    <s v="Loco et territorio de Malagayta et de Manso Feriol et de Dailhdega"/>
    <s v="Frère"/>
    <s v="Fay"/>
    <n v="1"/>
    <n v="0"/>
    <n v="0"/>
    <n v="0"/>
    <n v="0"/>
    <n v="0"/>
    <n v="3"/>
    <n v="1.3333333333333333"/>
    <n v="0"/>
    <n v="0"/>
    <n v="0"/>
    <n v="0"/>
    <n v="0"/>
    <n v="1"/>
    <n v="1.3333333333333333"/>
    <n v="0"/>
    <n v="0"/>
    <n v="0"/>
    <n v="0"/>
    <n v="0"/>
    <n v="0"/>
    <n v="0"/>
    <n v="0"/>
    <n v="0"/>
    <s v="Pratis"/>
    <n v="9.6666666666666661"/>
    <n v="1.3333333333333333"/>
    <n v="0"/>
    <n v="0"/>
    <n v="0"/>
    <s v="Pratis"/>
    <s v="Toussaint"/>
    <m/>
    <m/>
    <s v="Devesset, in turre supra portam"/>
    <s v="Girandus Girandi de Pulinaco"/>
    <s v="Eustachio de Quinteato domicelli"/>
    <s v="Guillermo filio Johannis de Crosto"/>
    <s v="Mattheo Matinerii"/>
    <m/>
    <m/>
    <m/>
  </r>
  <r>
    <n v="1101"/>
    <m/>
    <s v="Guillermus"/>
    <s v="De Malagayta"/>
    <x v="47"/>
    <m/>
    <s v="Filius Johannis de Malagayta"/>
    <m/>
    <s v="H"/>
    <n v="1343"/>
    <s v="Mai"/>
    <n v="13"/>
    <s v="Raynaud de Fay"/>
    <s v="Homo-licgius, justitabilis et expletabilis"/>
    <x v="1"/>
    <s v="Non"/>
    <s v="Oui"/>
    <s v="Oui"/>
    <s v="Oui"/>
    <s v="Non"/>
    <s v="Avec bœufs et animaux"/>
    <s v="Contractus emphiteotitarii"/>
    <x v="3"/>
    <x v="0"/>
    <x v="0"/>
    <x v="0"/>
    <x v="0"/>
    <x v="0"/>
    <x v="0"/>
    <x v="4"/>
    <x v="0"/>
    <x v="0"/>
    <x v="0"/>
    <s v="Non"/>
    <x v="0"/>
    <x v="0"/>
    <x v="0"/>
    <x v="0"/>
    <x v="0"/>
    <x v="0"/>
    <x v="0"/>
    <x v="0"/>
    <x v="0"/>
    <x v="0"/>
    <x v="0"/>
    <x v="2"/>
    <x v="0"/>
    <x v="0"/>
    <x v="0"/>
    <x v="0"/>
    <x v="0"/>
    <x v="0"/>
    <x v="0"/>
    <x v="0"/>
    <x v="0"/>
    <x v="0"/>
    <x v="0"/>
    <x v="0"/>
    <x v="0"/>
    <x v="0"/>
    <x v="0"/>
    <x v="0"/>
    <x v="0"/>
    <x v="1"/>
    <m/>
    <s v="Domum + sana"/>
    <s v="Loco et territorio de Malagayta et in locus et pertinentiis de Mas Feriol et de Dalhdega"/>
    <m/>
    <s v="Pas de mesure de céréale"/>
    <n v="1"/>
    <n v="0"/>
    <n v="0"/>
    <n v="0"/>
    <n v="0"/>
    <n v="0"/>
    <n v="3"/>
    <n v="1.3333333333333333"/>
    <n v="0"/>
    <n v="0"/>
    <n v="0"/>
    <n v="0"/>
    <n v="0"/>
    <n v="1"/>
    <n v="1.3333333333333333"/>
    <n v="0"/>
    <n v="0"/>
    <n v="0"/>
    <n v="0"/>
    <n v="0"/>
    <n v="0"/>
    <n v="0"/>
    <n v="0"/>
    <n v="0"/>
    <s v="Sana"/>
    <n v="10.166666666666666"/>
    <n v="1.3333333333333333"/>
    <n v="0"/>
    <n v="0"/>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772"/>
    <m/>
    <s v="Peyrotus et Johannes"/>
    <s v="Vinati"/>
    <x v="48"/>
    <m/>
    <m/>
    <m/>
    <s v="G"/>
    <n v="1343"/>
    <s v="Décembre"/>
    <n v="8"/>
    <s v="Raynaud de Fay"/>
    <s v="Promisit esse fidelis domui Devesseti"/>
    <x v="0"/>
    <m/>
    <m/>
    <m/>
    <m/>
    <m/>
    <m/>
    <m/>
    <x v="0"/>
    <x v="0"/>
    <x v="1"/>
    <x v="0"/>
    <x v="3"/>
    <x v="0"/>
    <x v="4"/>
    <x v="1"/>
    <x v="0"/>
    <x v="0"/>
    <x v="0"/>
    <s v="Non"/>
    <x v="0"/>
    <x v="0"/>
    <x v="0"/>
    <x v="0"/>
    <x v="0"/>
    <x v="0"/>
    <x v="0"/>
    <x v="0"/>
    <x v="0"/>
    <x v="0"/>
    <x v="0"/>
    <x v="0"/>
    <x v="0"/>
    <x v="0"/>
    <x v="0"/>
    <x v="0"/>
    <x v="0"/>
    <x v="0"/>
    <x v="0"/>
    <x v="0"/>
    <x v="0"/>
    <x v="0"/>
    <x v="0"/>
    <x v="0"/>
    <x v="0"/>
    <x v="0"/>
    <x v="0"/>
    <x v="0"/>
    <x v="0"/>
    <x v="0"/>
    <m/>
    <s v="Pasturale + nemus + pratum"/>
    <m/>
    <m/>
    <s v="Pas de mesure de céréale"/>
    <n v="0"/>
    <n v="0"/>
    <n v="0"/>
    <n v="0"/>
    <n v="0"/>
    <n v="0"/>
    <n v="0"/>
    <n v="1"/>
    <n v="0"/>
    <n v="0"/>
    <n v="0"/>
    <n v="0"/>
    <n v="0"/>
    <n v="0"/>
    <n v="0"/>
    <n v="0"/>
    <n v="0"/>
    <n v="0"/>
    <n v="0"/>
    <n v="0"/>
    <n v="0"/>
    <n v="0"/>
    <n v="0"/>
    <n v="0"/>
    <m/>
    <n v="0"/>
    <n v="0"/>
    <n v="0"/>
    <n v="0"/>
    <n v="0"/>
    <m/>
    <s v="Toussaint"/>
    <m/>
    <m/>
    <s v="Saint-Agrève, ante domum Guigonis de Ponte"/>
    <s v="Girandus Girandi de Pulinaco"/>
    <s v="Fratre Johanne Meruli"/>
    <s v="Guillermo Lafanria"/>
    <m/>
    <m/>
    <m/>
    <m/>
  </r>
  <r>
    <n v="1781"/>
    <m/>
    <s v="Johannes"/>
    <s v="Garaytoni"/>
    <x v="48"/>
    <s v="Habitator de Malavalle"/>
    <m/>
    <s v="Nomine Violete eius uxor de Mala Valle"/>
    <s v="H"/>
    <n v="1343"/>
    <s v="Décembre"/>
    <n v="21"/>
    <s v="Raynaud de Fay"/>
    <s v="Promisit esse fidelis domui Devesseti"/>
    <x v="0"/>
    <m/>
    <m/>
    <m/>
    <m/>
    <m/>
    <m/>
    <s v="Constractus emphiteotarii"/>
    <x v="0"/>
    <x v="0"/>
    <x v="0"/>
    <x v="0"/>
    <x v="3"/>
    <x v="0"/>
    <x v="0"/>
    <x v="1"/>
    <x v="0"/>
    <x v="0"/>
    <x v="0"/>
    <s v="Non"/>
    <x v="0"/>
    <x v="0"/>
    <x v="0"/>
    <x v="0"/>
    <x v="0"/>
    <x v="0"/>
    <x v="0"/>
    <x v="0"/>
    <x v="0"/>
    <x v="0"/>
    <x v="0"/>
    <x v="0"/>
    <x v="0"/>
    <x v="0"/>
    <x v="0"/>
    <x v="0"/>
    <x v="0"/>
    <x v="0"/>
    <x v="0"/>
    <x v="0"/>
    <x v="0"/>
    <x v="0"/>
    <x v="0"/>
    <x v="0"/>
    <x v="0"/>
    <x v="0"/>
    <x v="0"/>
    <x v="0"/>
    <x v="0"/>
    <x v="0"/>
    <m/>
    <s v="Nemus"/>
    <m/>
    <m/>
    <s v="Devesset"/>
    <n v="0"/>
    <n v="0"/>
    <n v="0"/>
    <n v="0"/>
    <n v="0"/>
    <n v="0"/>
    <n v="0"/>
    <n v="1"/>
    <n v="0"/>
    <n v="0"/>
    <n v="0"/>
    <n v="0"/>
    <n v="0"/>
    <n v="0"/>
    <n v="0"/>
    <n v="0"/>
    <n v="0"/>
    <n v="0"/>
    <n v="0"/>
    <n v="0"/>
    <n v="0"/>
    <n v="0"/>
    <n v="0"/>
    <n v="0"/>
    <s v="Nemus"/>
    <n v="0"/>
    <n v="0"/>
    <n v="0"/>
    <n v="0"/>
    <n v="0"/>
    <m/>
    <s v="Toussaint"/>
    <m/>
    <m/>
    <s v="Saint-Agrève, in carerra ante domum Guigonis de Ponte"/>
    <s v="Girandus Girandi de Pulinaco"/>
    <s v="Comme plus bas"/>
    <m/>
    <m/>
    <m/>
    <m/>
    <m/>
  </r>
  <r>
    <n v="1782"/>
    <m/>
    <s v="Johannes"/>
    <s v="Vinati"/>
    <x v="48"/>
    <m/>
    <m/>
    <m/>
    <s v="H"/>
    <n v="1343"/>
    <s v="Décembre"/>
    <n v="21"/>
    <s v="Raynaud de Fay"/>
    <s v="Promisit esse fidelis domui Devesseti"/>
    <x v="0"/>
    <m/>
    <m/>
    <m/>
    <m/>
    <m/>
    <m/>
    <s v="Constractus emphiteotarii"/>
    <x v="0"/>
    <x v="0"/>
    <x v="1"/>
    <x v="0"/>
    <x v="3"/>
    <x v="0"/>
    <x v="4"/>
    <x v="1"/>
    <x v="0"/>
    <x v="0"/>
    <x v="0"/>
    <s v="Non"/>
    <x v="0"/>
    <x v="0"/>
    <x v="0"/>
    <x v="0"/>
    <x v="0"/>
    <x v="0"/>
    <x v="0"/>
    <x v="0"/>
    <x v="0"/>
    <x v="0"/>
    <x v="0"/>
    <x v="0"/>
    <x v="0"/>
    <x v="0"/>
    <x v="0"/>
    <x v="0"/>
    <x v="0"/>
    <x v="0"/>
    <x v="0"/>
    <x v="0"/>
    <x v="0"/>
    <x v="0"/>
    <x v="0"/>
    <x v="0"/>
    <x v="0"/>
    <x v="0"/>
    <x v="0"/>
    <x v="0"/>
    <x v="0"/>
    <x v="0"/>
    <m/>
    <s v="Pasturale + nemus + pratum"/>
    <m/>
    <m/>
    <s v="Devesset"/>
    <n v="0"/>
    <n v="0"/>
    <n v="0"/>
    <n v="0"/>
    <n v="0"/>
    <n v="0"/>
    <n v="0"/>
    <n v="1"/>
    <n v="0"/>
    <n v="0"/>
    <n v="0"/>
    <n v="0"/>
    <n v="0"/>
    <n v="0"/>
    <n v="0"/>
    <n v="0"/>
    <n v="0"/>
    <n v="0"/>
    <n v="0"/>
    <n v="0"/>
    <n v="0"/>
    <n v="0"/>
    <n v="0"/>
    <n v="0"/>
    <m/>
    <n v="0"/>
    <n v="0"/>
    <n v="0"/>
    <n v="0"/>
    <n v="0"/>
    <m/>
    <s v="Toussaint"/>
    <m/>
    <m/>
    <s v="Saint-Agrève, in carerra ante domum Guigonis de Ponte"/>
    <s v="Girandus Girandi de Pulinaco"/>
    <s v="Lorentio de Croso"/>
    <s v="Petro Lorei de Montabo"/>
    <s v="Laurentio Chambonant"/>
    <s v="Al' Gnere de Chalmanetes"/>
    <m/>
    <m/>
  </r>
  <r>
    <n v="1591"/>
    <m/>
    <s v="Petrus "/>
    <s v="Palherii"/>
    <x v="49"/>
    <m/>
    <m/>
    <s v="Nomine Peyruchonis Palherii eius fratris"/>
    <s v="H"/>
    <n v="1342"/>
    <s v="Février"/>
    <n v="20"/>
    <s v="Raynaud de Fay"/>
    <s v="Homo-licgius, justitabilis et expletabilis"/>
    <x v="0"/>
    <s v="Non"/>
    <s v="Oui"/>
    <s v="Oui"/>
    <s v="Oui"/>
    <s v="Non"/>
    <s v="Avec bœufs et animaux"/>
    <s v="Constractus emphiteotarii"/>
    <x v="3"/>
    <x v="4"/>
    <x v="4"/>
    <x v="0"/>
    <x v="4"/>
    <x v="0"/>
    <x v="0"/>
    <x v="1"/>
    <x v="0"/>
    <x v="0"/>
    <x v="0"/>
    <s v="Non"/>
    <x v="0"/>
    <x v="0"/>
    <x v="0"/>
    <x v="3"/>
    <x v="0"/>
    <x v="0"/>
    <x v="0"/>
    <x v="0"/>
    <x v="0"/>
    <x v="0"/>
    <x v="0"/>
    <x v="0"/>
    <x v="0"/>
    <x v="0"/>
    <x v="0"/>
    <x v="0"/>
    <x v="0"/>
    <x v="0"/>
    <x v="0"/>
    <x v="0"/>
    <x v="0"/>
    <x v="0"/>
    <x v="0"/>
    <x v="0"/>
    <x v="0"/>
    <x v="0"/>
    <x v="0"/>
    <x v="0"/>
    <x v="0"/>
    <x v="0"/>
    <m/>
    <s v="Domus + ouchiam + 2 pratum + 2 nemus"/>
    <m/>
    <s v="Frère"/>
    <s v="Devesset"/>
    <n v="1"/>
    <n v="0"/>
    <n v="0"/>
    <n v="0"/>
    <n v="0"/>
    <n v="0"/>
    <n v="3"/>
    <n v="0"/>
    <n v="0"/>
    <n v="0"/>
    <n v="0"/>
    <n v="0"/>
    <n v="0"/>
    <n v="3"/>
    <n v="0"/>
    <n v="0"/>
    <n v="0"/>
    <n v="0"/>
    <n v="0"/>
    <n v="0"/>
    <n v="0"/>
    <n v="0"/>
    <n v="0"/>
    <n v="0"/>
    <m/>
    <n v="30"/>
    <n v="0"/>
    <n v="0"/>
    <n v="0"/>
    <n v="0"/>
    <s v="Censu et talha + 2 nemus + prata"/>
    <s v="Toussaint"/>
    <s v="Mero et mixto imperio"/>
    <s v="De mandamento et de juridictione castri Devesseti"/>
    <s v="Devesset, in turre supra portam"/>
    <s v="Girandus Girandi de Pulinaco"/>
    <s v="Gerentono de Podio Frigido"/>
    <s v="Andree de Jalibertis"/>
    <s v="Untentio de Villa Nova"/>
    <m/>
    <m/>
    <m/>
  </r>
  <r>
    <n v="521"/>
    <m/>
    <s v="Gregorius"/>
    <s v="Berlhonis"/>
    <x v="50"/>
    <m/>
    <s v="Filius Johanis Berlhonis condam"/>
    <s v="Nomine Laurenti Berlhonis et Martini Berlonis eius fratrini"/>
    <s v="H"/>
    <n v="1343"/>
    <s v="Avril"/>
    <n v="23"/>
    <s v="Raynaud de Fay"/>
    <s v="Homo-licgius, justitabilis et expletabilis"/>
    <x v="2"/>
    <s v="Non"/>
    <s v="Oui"/>
    <s v="Oui"/>
    <s v="Oui"/>
    <s v="Non"/>
    <m/>
    <s v="Contractus emphiteotitarii"/>
    <x v="2"/>
    <x v="2"/>
    <x v="2"/>
    <x v="1"/>
    <x v="1"/>
    <x v="1"/>
    <x v="1"/>
    <x v="1"/>
    <x v="0"/>
    <x v="0"/>
    <x v="0"/>
    <s v="Oui"/>
    <x v="0"/>
    <x v="0"/>
    <x v="0"/>
    <x v="2"/>
    <x v="0"/>
    <x v="0"/>
    <x v="0"/>
    <x v="0"/>
    <x v="0"/>
    <x v="0"/>
    <x v="0"/>
    <x v="0"/>
    <x v="0"/>
    <x v="0"/>
    <x v="0"/>
    <x v="0"/>
    <x v="0"/>
    <x v="0"/>
    <x v="0"/>
    <x v="0"/>
    <x v="0"/>
    <x v="0"/>
    <x v="0"/>
    <x v="0"/>
    <x v="0"/>
    <x v="0"/>
    <x v="0"/>
    <x v="0"/>
    <x v="0"/>
    <x v="1"/>
    <m/>
    <m/>
    <s v="Loco, manso et territorio de Masalibrant"/>
    <s v="Frères"/>
    <s v="Tence"/>
    <n v="1"/>
    <n v="0"/>
    <n v="0"/>
    <n v="0"/>
    <n v="0"/>
    <n v="1"/>
    <n v="13"/>
    <n v="0"/>
    <n v="0"/>
    <n v="0"/>
    <n v="0"/>
    <n v="0"/>
    <n v="0"/>
    <n v="0"/>
    <n v="0"/>
    <n v="0"/>
    <n v="0"/>
    <n v="0"/>
    <n v="0"/>
    <n v="0"/>
    <n v="0"/>
    <n v="0"/>
    <n v="0"/>
    <n v="0"/>
    <m/>
    <n v="7.916666666666667"/>
    <n v="0"/>
    <n v="0"/>
    <n v="0"/>
    <n v="0"/>
    <m/>
    <s v="Toussaint"/>
    <m/>
    <s v="Domus Devesseti"/>
    <s v="Devesset, in turre supra portam"/>
    <s v="Girandus Girandi de Pulinaco"/>
    <s v="Egidio Blachonis"/>
    <s v="Johane Berlho"/>
    <s v="Petro Mola"/>
    <m/>
    <m/>
    <s v="In quadam compositione olim facta inter dominum aniciensis episcopum et domum Devesseti"/>
  </r>
  <r>
    <n v="531"/>
    <m/>
    <s v="Johanis"/>
    <s v="Berlhos"/>
    <x v="50"/>
    <m/>
    <s v="Filius Armandeti Berlhos condam"/>
    <m/>
    <s v="H"/>
    <n v="1343"/>
    <s v="Avril"/>
    <n v="23"/>
    <s v="Raynaud de Fay"/>
    <s v="Homo-licgius, justitabilis et expletabilis"/>
    <x v="1"/>
    <s v="Non"/>
    <s v="Oui"/>
    <s v="Oui"/>
    <s v="Oui"/>
    <s v="Non"/>
    <s v="Avec bœufs et animaux"/>
    <s v="Contractus emphiteotitarii"/>
    <x v="2"/>
    <x v="2"/>
    <x v="2"/>
    <x v="1"/>
    <x v="0"/>
    <x v="1"/>
    <x v="1"/>
    <x v="1"/>
    <x v="1"/>
    <x v="1"/>
    <x v="0"/>
    <s v="Oui"/>
    <x v="0"/>
    <x v="0"/>
    <x v="0"/>
    <x v="0"/>
    <x v="0"/>
    <x v="0"/>
    <x v="0"/>
    <x v="0"/>
    <x v="0"/>
    <x v="0"/>
    <x v="0"/>
    <x v="0"/>
    <x v="0"/>
    <x v="0"/>
    <x v="0"/>
    <x v="0"/>
    <x v="0"/>
    <x v="0"/>
    <x v="0"/>
    <x v="0"/>
    <x v="0"/>
    <x v="0"/>
    <x v="0"/>
    <x v="0"/>
    <x v="0"/>
    <x v="0"/>
    <x v="0"/>
    <x v="0"/>
    <x v="0"/>
    <x v="1"/>
    <m/>
    <m/>
    <s v="Loco et territorio de Masalibrant"/>
    <m/>
    <s v="Tence"/>
    <n v="1"/>
    <n v="0"/>
    <n v="0"/>
    <n v="0"/>
    <n v="0"/>
    <n v="0"/>
    <n v="7"/>
    <n v="0"/>
    <n v="0"/>
    <n v="0"/>
    <n v="0"/>
    <n v="0"/>
    <n v="0"/>
    <n v="0.5"/>
    <n v="0"/>
    <n v="1"/>
    <n v="0"/>
    <n v="0"/>
    <n v="0"/>
    <n v="0"/>
    <n v="0"/>
    <n v="0"/>
    <n v="0"/>
    <n v="0"/>
    <m/>
    <n v="4"/>
    <n v="-1"/>
    <n v="0"/>
    <n v="0"/>
    <n v="0"/>
    <s v="Censu et talha"/>
    <s v="Toussaint"/>
    <m/>
    <m/>
    <s v="Devesset, in turre supra portam"/>
    <s v="Girandus Girandi de Pulinaco"/>
    <s v="Domino Johane Armandi presbitero"/>
    <s v="Bernardo de Ruppe clerico"/>
    <s v="Petro de Bonafonte"/>
    <m/>
    <m/>
    <m/>
  </r>
  <r>
    <n v="541"/>
    <m/>
    <s v="Michael"/>
    <s v="Garnerii"/>
    <x v="50"/>
    <m/>
    <m/>
    <m/>
    <s v="H"/>
    <n v="1343"/>
    <s v="Avril"/>
    <n v="23"/>
    <s v="Raynaud de Fay"/>
    <s v="Homo-licgius, justitabilis et expletabilis"/>
    <x v="1"/>
    <s v="Non"/>
    <s v="Oui"/>
    <s v="Oui"/>
    <s v="Oui"/>
    <s v="Non"/>
    <s v="Avec bœufs et animaux"/>
    <s v="Contractus emphiteotitarii"/>
    <x v="2"/>
    <x v="2"/>
    <x v="2"/>
    <x v="1"/>
    <x v="0"/>
    <x v="1"/>
    <x v="1"/>
    <x v="1"/>
    <x v="0"/>
    <x v="0"/>
    <x v="0"/>
    <s v="Oui"/>
    <x v="0"/>
    <x v="0"/>
    <x v="0"/>
    <x v="0"/>
    <x v="0"/>
    <x v="0"/>
    <x v="0"/>
    <x v="0"/>
    <x v="0"/>
    <x v="0"/>
    <x v="0"/>
    <x v="0"/>
    <x v="0"/>
    <x v="0"/>
    <x v="0"/>
    <x v="0"/>
    <x v="0"/>
    <x v="0"/>
    <x v="0"/>
    <x v="0"/>
    <x v="0"/>
    <x v="0"/>
    <x v="0"/>
    <x v="0"/>
    <x v="0"/>
    <x v="0"/>
    <x v="0"/>
    <x v="0"/>
    <x v="0"/>
    <x v="1"/>
    <s v="Avec aquarum et curtibus"/>
    <m/>
    <s v="Loco et territorio de Masalibrant"/>
    <m/>
    <s v="Tence"/>
    <n v="1"/>
    <n v="0"/>
    <n v="0"/>
    <n v="0"/>
    <n v="2"/>
    <n v="0"/>
    <n v="0"/>
    <n v="0"/>
    <n v="1"/>
    <n v="0"/>
    <n v="0"/>
    <n v="0"/>
    <n v="0"/>
    <n v="5.5"/>
    <n v="0"/>
    <n v="0"/>
    <n v="0"/>
    <n v="0"/>
    <n v="0"/>
    <n v="0"/>
    <n v="0"/>
    <n v="0"/>
    <n v="0"/>
    <n v="0"/>
    <m/>
    <n v="6"/>
    <n v="0"/>
    <n v="0"/>
    <n v="0"/>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1"/>
    <m/>
    <s v="Vitalis"/>
    <s v="Garnerii"/>
    <x v="50"/>
    <m/>
    <m/>
    <m/>
    <s v="H"/>
    <n v="1343"/>
    <s v="Avril"/>
    <n v="23"/>
    <s v="Raynaud de Fay"/>
    <s v="Homo-licgius, justitabilis et expletabilis"/>
    <x v="1"/>
    <s v="Non"/>
    <s v="Oui"/>
    <s v="Oui"/>
    <s v="Oui"/>
    <s v="Non"/>
    <s v="Avec bœufs et animaux"/>
    <s v="Contractus emphiteotitarii"/>
    <x v="2"/>
    <x v="2"/>
    <x v="2"/>
    <x v="1"/>
    <x v="1"/>
    <x v="1"/>
    <x v="1"/>
    <x v="1"/>
    <x v="1"/>
    <x v="1"/>
    <x v="0"/>
    <s v="Non"/>
    <x v="0"/>
    <x v="0"/>
    <x v="0"/>
    <x v="0"/>
    <x v="0"/>
    <x v="0"/>
    <x v="0"/>
    <x v="0"/>
    <x v="0"/>
    <x v="0"/>
    <x v="0"/>
    <x v="0"/>
    <x v="0"/>
    <x v="0"/>
    <x v="0"/>
    <x v="0"/>
    <x v="0"/>
    <x v="0"/>
    <x v="0"/>
    <x v="0"/>
    <x v="0"/>
    <x v="0"/>
    <x v="0"/>
    <x v="0"/>
    <x v="0"/>
    <x v="0"/>
    <x v="0"/>
    <x v="0"/>
    <x v="0"/>
    <x v="1"/>
    <m/>
    <m/>
    <s v="Loco et territorio de Masalibrant"/>
    <m/>
    <s v="Tence"/>
    <n v="0.33333333333333331"/>
    <n v="0"/>
    <n v="0"/>
    <n v="0"/>
    <n v="0"/>
    <n v="0"/>
    <n v="12"/>
    <n v="0"/>
    <n v="0"/>
    <n v="0"/>
    <n v="0"/>
    <n v="0"/>
    <n v="0"/>
    <n v="3.1666666666666665"/>
    <n v="0"/>
    <n v="0"/>
    <n v="0"/>
    <n v="0"/>
    <n v="0"/>
    <n v="0"/>
    <n v="0"/>
    <n v="0"/>
    <n v="0"/>
    <n v="0"/>
    <m/>
    <n v="6.7777777777777777"/>
    <n v="0"/>
    <n v="0"/>
    <n v="0"/>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2"/>
    <m/>
    <s v="Johanne"/>
    <s v="Garnerii"/>
    <x v="50"/>
    <m/>
    <m/>
    <m/>
    <s v="H"/>
    <n v="1343"/>
    <m/>
    <s v="Die Martis post festum Beati Martini Yemalis"/>
    <s v="Raynaud de Fay"/>
    <s v="Homo-licgius, justitabilis et expletabilis"/>
    <x v="1"/>
    <s v="Non"/>
    <s v="Oui"/>
    <s v="Oui"/>
    <s v="Oui"/>
    <s v="Non"/>
    <s v="Avec bœufs et animaux"/>
    <s v="Contractus emphiteotitarii"/>
    <x v="2"/>
    <x v="2"/>
    <x v="2"/>
    <x v="1"/>
    <x v="0"/>
    <x v="1"/>
    <x v="1"/>
    <x v="1"/>
    <x v="1"/>
    <x v="0"/>
    <x v="0"/>
    <s v="Oui"/>
    <x v="0"/>
    <x v="0"/>
    <x v="0"/>
    <x v="0"/>
    <x v="0"/>
    <x v="0"/>
    <x v="0"/>
    <x v="0"/>
    <x v="0"/>
    <x v="0"/>
    <x v="0"/>
    <x v="0"/>
    <x v="0"/>
    <x v="0"/>
    <x v="0"/>
    <x v="0"/>
    <x v="0"/>
    <x v="0"/>
    <x v="0"/>
    <x v="0"/>
    <x v="0"/>
    <x v="0"/>
    <x v="0"/>
    <x v="0"/>
    <x v="0"/>
    <x v="0"/>
    <x v="0"/>
    <x v="0"/>
    <x v="0"/>
    <x v="1"/>
    <m/>
    <m/>
    <s v="Loco et territorio de Masalibrant"/>
    <m/>
    <s v="Tence"/>
    <n v="0.2"/>
    <n v="0"/>
    <n v="0"/>
    <n v="0"/>
    <n v="0"/>
    <n v="1"/>
    <n v="0"/>
    <n v="0"/>
    <n v="0"/>
    <n v="0"/>
    <n v="0"/>
    <n v="0"/>
    <n v="0"/>
    <n v="1.1000000000000001"/>
    <n v="0"/>
    <n v="0"/>
    <n v="0"/>
    <n v="0"/>
    <n v="0"/>
    <n v="0"/>
    <n v="0"/>
    <n v="0"/>
    <n v="0"/>
    <n v="0"/>
    <m/>
    <n v="2.2666666666666666"/>
    <n v="0"/>
    <n v="0"/>
    <n v="0"/>
    <n v="0"/>
    <s v="Censu et talha"/>
    <s v="Toussaint"/>
    <m/>
    <s v="Castri Devesseti"/>
    <s v="Devesset"/>
    <s v="Girandus Girandi de Pulinaco"/>
    <s v="Johane de Craseto"/>
    <s v="Guillermo de Craseto (son fils)"/>
    <m/>
    <m/>
    <m/>
    <s v="In quadam compositione olim facta inter dominum aniciensis episcopum et domum Devesseti"/>
  </r>
  <r>
    <n v="561"/>
    <m/>
    <s v="Petrus"/>
    <s v="Mola"/>
    <x v="50"/>
    <m/>
    <m/>
    <m/>
    <s v="H"/>
    <n v="1343"/>
    <s v="Avril"/>
    <n v="23"/>
    <s v="Raynaud de Fay"/>
    <s v="Homo-licgius, justitabilis et expletabilis"/>
    <x v="1"/>
    <s v="Non"/>
    <s v="Oui"/>
    <s v="Oui"/>
    <s v="Oui"/>
    <s v="Non"/>
    <s v="Avec bœufs et animaux"/>
    <s v="Contractus emphiteotitarii"/>
    <x v="2"/>
    <x v="2"/>
    <x v="2"/>
    <x v="1"/>
    <x v="0"/>
    <x v="1"/>
    <x v="1"/>
    <x v="1"/>
    <x v="1"/>
    <x v="1"/>
    <x v="3"/>
    <s v="Non"/>
    <x v="0"/>
    <x v="0"/>
    <x v="0"/>
    <x v="0"/>
    <x v="0"/>
    <x v="0"/>
    <x v="0"/>
    <x v="0"/>
    <x v="0"/>
    <x v="0"/>
    <x v="0"/>
    <x v="0"/>
    <x v="0"/>
    <x v="0"/>
    <x v="0"/>
    <x v="0"/>
    <x v="0"/>
    <x v="0"/>
    <x v="0"/>
    <x v="0"/>
    <x v="0"/>
    <x v="0"/>
    <x v="0"/>
    <x v="0"/>
    <x v="0"/>
    <x v="0"/>
    <x v="0"/>
    <x v="0"/>
    <x v="0"/>
    <x v="1"/>
    <m/>
    <s v="Domos + grangias + possessiones"/>
    <s v="Loco et territorio de Masalibrant"/>
    <m/>
    <s v="Tence"/>
    <n v="1"/>
    <n v="0"/>
    <n v="0"/>
    <n v="0"/>
    <n v="3"/>
    <n v="0"/>
    <n v="0.25"/>
    <n v="0"/>
    <n v="1"/>
    <n v="0"/>
    <n v="0"/>
    <n v="0"/>
    <n v="0"/>
    <n v="9"/>
    <n v="0"/>
    <n v="0"/>
    <n v="0"/>
    <n v="0"/>
    <n v="0"/>
    <n v="0"/>
    <n v="0"/>
    <n v="0"/>
    <n v="0"/>
    <n v="0"/>
    <s v="1 Achat"/>
    <n v="22.166666666666668"/>
    <n v="0"/>
    <n v="0"/>
    <n v="0"/>
    <n v="0"/>
    <s v="Censu et talha"/>
    <s v="Toussaint"/>
    <s v="De juridictine et senhoria"/>
    <s v="Castri seu domus Devesseti"/>
    <s v="Devesset, in turre supra portam"/>
    <s v="Girandus Girandi de Pulinaco"/>
    <s v="Petro de Casalibus"/>
    <s v="Petro Porro"/>
    <s v="Matheo Morelli de Ruppe Paula"/>
    <m/>
    <m/>
    <s v="In quadam compositione olim facta inter dominum aniciensis episcopum et domum Devesseti"/>
  </r>
  <r>
    <n v="571"/>
    <m/>
    <s v="Perruchos"/>
    <s v="Mola"/>
    <x v="50"/>
    <m/>
    <s v="Filius Johanis Mola de Masalibrant condam"/>
    <m/>
    <s v="Répertoire lit Mola"/>
    <n v="1343"/>
    <s v="Avril"/>
    <n v="23"/>
    <s v="Raynaud de Fay"/>
    <s v="Homo-licgius, justitabilis et expletabilis"/>
    <x v="1"/>
    <s v="Non"/>
    <s v="Oui"/>
    <s v="Oui"/>
    <s v="Oui"/>
    <s v="Non"/>
    <m/>
    <s v="Contractus emphiteotitarii"/>
    <x v="2"/>
    <x v="2"/>
    <x v="2"/>
    <x v="1"/>
    <x v="0"/>
    <x v="1"/>
    <x v="1"/>
    <x v="1"/>
    <x v="1"/>
    <x v="1"/>
    <x v="0"/>
    <s v="Non"/>
    <x v="0"/>
    <x v="0"/>
    <x v="0"/>
    <x v="0"/>
    <x v="0"/>
    <x v="0"/>
    <x v="0"/>
    <x v="0"/>
    <x v="0"/>
    <x v="0"/>
    <x v="0"/>
    <x v="0"/>
    <x v="0"/>
    <x v="0"/>
    <x v="0"/>
    <x v="0"/>
    <x v="0"/>
    <x v="0"/>
    <x v="0"/>
    <x v="0"/>
    <x v="0"/>
    <x v="0"/>
    <x v="0"/>
    <x v="0"/>
    <x v="0"/>
    <x v="0"/>
    <x v="0"/>
    <x v="0"/>
    <x v="0"/>
    <x v="1"/>
    <m/>
    <m/>
    <s v="Loco et territorio de Masalibrant et de LasRuschas"/>
    <m/>
    <s v="Tence"/>
    <n v="1"/>
    <n v="0"/>
    <n v="0"/>
    <n v="0"/>
    <n v="0"/>
    <n v="0"/>
    <n v="12.166666666666666"/>
    <n v="0"/>
    <n v="0"/>
    <n v="0"/>
    <n v="0"/>
    <n v="0"/>
    <n v="1"/>
    <n v="0.5"/>
    <n v="0"/>
    <n v="0"/>
    <n v="0"/>
    <n v="0"/>
    <n v="0"/>
    <n v="0"/>
    <n v="0"/>
    <n v="0"/>
    <n v="0"/>
    <n v="0"/>
    <m/>
    <n v="10.666666666666666"/>
    <n v="0"/>
    <n v="0"/>
    <n v="0"/>
    <n v="0"/>
    <s v="Censu et talha"/>
    <s v="Toussaint"/>
    <s v="De juridictine et senhoria"/>
    <s v="Castri seu domus Devesseti"/>
    <s v="Devesset, in turre supra portam"/>
    <s v="Girandus Girandi de Pulinaco"/>
    <s v="Petro de Casalibus curato Devesseti"/>
    <s v="Petro Porronis"/>
    <s v="Matheo Morelli de Ruppe Paula"/>
    <m/>
    <m/>
    <s v="In quadam compositione olim facta inter dominum aniciensis episcopum et domum Devesseti"/>
  </r>
  <r>
    <n v="671"/>
    <m/>
    <s v="Michael"/>
    <s v="Girardi"/>
    <x v="50"/>
    <m/>
    <m/>
    <m/>
    <s v="H"/>
    <n v="1343"/>
    <s v="Avril"/>
    <n v="29"/>
    <s v="Raynaud de Fay"/>
    <s v="Homo-licgius, justitabilis et expletabilis"/>
    <x v="1"/>
    <s v="Non"/>
    <s v="Oui"/>
    <s v="Oui"/>
    <s v="Oui"/>
    <s v="Non"/>
    <s v="Avec bœufs et animaux"/>
    <s v="Contractus emphiteotitarii"/>
    <x v="2"/>
    <x v="0"/>
    <x v="0"/>
    <x v="0"/>
    <x v="0"/>
    <x v="0"/>
    <x v="0"/>
    <x v="4"/>
    <x v="0"/>
    <x v="0"/>
    <x v="0"/>
    <s v="Non"/>
    <x v="0"/>
    <x v="0"/>
    <x v="0"/>
    <x v="0"/>
    <x v="0"/>
    <x v="0"/>
    <x v="0"/>
    <x v="0"/>
    <x v="0"/>
    <x v="0"/>
    <x v="0"/>
    <x v="0"/>
    <x v="0"/>
    <x v="0"/>
    <x v="0"/>
    <x v="0"/>
    <x v="0"/>
    <x v="0"/>
    <x v="0"/>
    <x v="0"/>
    <x v="0"/>
    <x v="0"/>
    <x v="0"/>
    <x v="0"/>
    <x v="0"/>
    <x v="0"/>
    <x v="0"/>
    <x v="0"/>
    <x v="0"/>
    <x v="1"/>
    <m/>
    <s v="Domos + possessiones"/>
    <s v="Loco et territorio de Masalibrant"/>
    <s v="Femme"/>
    <s v="Tence"/>
    <n v="1"/>
    <n v="0"/>
    <n v="0"/>
    <n v="0"/>
    <n v="0"/>
    <n v="0"/>
    <n v="14"/>
    <n v="0"/>
    <n v="0"/>
    <n v="0"/>
    <n v="0"/>
    <n v="0"/>
    <n v="0"/>
    <n v="5"/>
    <n v="0.25"/>
    <n v="0"/>
    <n v="0"/>
    <n v="0"/>
    <n v="0"/>
    <n v="0"/>
    <n v="0"/>
    <n v="0"/>
    <n v="0"/>
    <n v="0"/>
    <s v="Possessiones eius uxoris"/>
    <n v="9.6666666666666661"/>
    <n v="1"/>
    <n v="0"/>
    <n v="0"/>
    <n v="0"/>
    <m/>
    <s v="Toussaint"/>
    <m/>
    <s v="De juridictione castri Devesseti"/>
    <s v="Devesset, in turre supra portam"/>
    <s v="Girandus Girandi de Pulinaco"/>
    <s v="Matheo Morelli Ruppe Paula"/>
    <s v="Petrus Porronis"/>
    <s v="Dompnino de Lasruschas"/>
    <m/>
    <m/>
    <s v="In quadam compositione olim facta inter dominum aniciensis episcopum et domum Devesseti"/>
  </r>
  <r>
    <n v="681"/>
    <m/>
    <s v="Petrus"/>
    <s v="Girardi"/>
    <x v="50"/>
    <m/>
    <m/>
    <m/>
    <s v="H"/>
    <n v="1343"/>
    <s v="Avril"/>
    <n v="29"/>
    <s v="Raynaud de Fay"/>
    <s v="Homo-licgius, justitabilis et expletabilis"/>
    <x v="1"/>
    <s v="Non"/>
    <s v="Oui"/>
    <s v="Oui"/>
    <s v="Oui"/>
    <s v="Non"/>
    <m/>
    <m/>
    <x v="3"/>
    <x v="0"/>
    <x v="0"/>
    <x v="0"/>
    <x v="0"/>
    <x v="0"/>
    <x v="0"/>
    <x v="1"/>
    <x v="0"/>
    <x v="0"/>
    <x v="0"/>
    <s v="Non"/>
    <x v="0"/>
    <x v="0"/>
    <x v="0"/>
    <x v="0"/>
    <x v="0"/>
    <x v="0"/>
    <x v="0"/>
    <x v="0"/>
    <x v="0"/>
    <x v="0"/>
    <x v="0"/>
    <x v="0"/>
    <x v="0"/>
    <x v="0"/>
    <x v="0"/>
    <x v="0"/>
    <x v="0"/>
    <x v="0"/>
    <x v="0"/>
    <x v="0"/>
    <x v="0"/>
    <x v="0"/>
    <x v="0"/>
    <x v="0"/>
    <x v="0"/>
    <x v="0"/>
    <x v="0"/>
    <x v="0"/>
    <x v="0"/>
    <x v="1"/>
    <m/>
    <s v="Domum"/>
    <s v="Loco et territorio de Masalibrant"/>
    <m/>
    <s v="Tence"/>
    <n v="0.14285714285714285"/>
    <n v="0"/>
    <n v="0"/>
    <n v="0"/>
    <n v="0"/>
    <n v="0"/>
    <n v="5.5"/>
    <n v="0"/>
    <n v="0"/>
    <n v="0"/>
    <n v="0"/>
    <n v="0"/>
    <n v="0"/>
    <n v="0.64285714285714279"/>
    <n v="1"/>
    <n v="1"/>
    <n v="0"/>
    <n v="0"/>
    <n v="0"/>
    <n v="0"/>
    <n v="0"/>
    <n v="0"/>
    <n v="0"/>
    <n v="0"/>
    <s v="Domo"/>
    <n v="3.25"/>
    <n v="0"/>
    <n v="0"/>
    <n v="0"/>
    <n v="0"/>
    <m/>
    <s v="Toussaint"/>
    <m/>
    <m/>
    <s v="Devesset, in turre supra portam"/>
    <s v="Girandus Girandi de Pulinaco"/>
    <s v="Matheo Morelli Ruppe Paula"/>
    <s v="Dompnino de Lasruschas"/>
    <s v="Petrus Porronis"/>
    <m/>
    <m/>
    <m/>
  </r>
  <r>
    <n v="691"/>
    <m/>
    <s v="Benedicta"/>
    <s v="Pastre"/>
    <x v="50"/>
    <m/>
    <s v="Filia Petri Pastre de Msalibrant condam"/>
    <s v="Pro et nomine Aguetis eius sororis"/>
    <s v="F"/>
    <n v="1343"/>
    <m/>
    <s v="Die Jonis post festum iunentionis sancte crucis"/>
    <s v="Raynaud de Fay"/>
    <s v="Mulier-licgia, justitabilis et expletabilis"/>
    <x v="5"/>
    <s v="Non"/>
    <s v="Oui"/>
    <s v="Oui"/>
    <s v="Oui"/>
    <s v="Non"/>
    <s v="Avec bœufs et animaux"/>
    <s v="Contractus emphiteotitarii"/>
    <x v="0"/>
    <x v="4"/>
    <x v="2"/>
    <x v="0"/>
    <x v="1"/>
    <x v="1"/>
    <x v="1"/>
    <x v="4"/>
    <x v="3"/>
    <x v="0"/>
    <x v="0"/>
    <s v="Non"/>
    <x v="0"/>
    <x v="0"/>
    <x v="0"/>
    <x v="2"/>
    <x v="0"/>
    <x v="0"/>
    <x v="0"/>
    <x v="0"/>
    <x v="0"/>
    <x v="0"/>
    <x v="0"/>
    <x v="0"/>
    <x v="0"/>
    <x v="0"/>
    <x v="0"/>
    <x v="0"/>
    <x v="0"/>
    <x v="0"/>
    <x v="0"/>
    <x v="0"/>
    <x v="0"/>
    <x v="0"/>
    <x v="0"/>
    <x v="0"/>
    <x v="0"/>
    <x v="0"/>
    <x v="0"/>
    <x v="0"/>
    <x v="0"/>
    <x v="1"/>
    <m/>
    <s v="Casale + ortum"/>
    <s v="Loco et territorio de Masalibrant"/>
    <s v="Sœur"/>
    <s v="Tence"/>
    <n v="0.25"/>
    <n v="0"/>
    <n v="0"/>
    <n v="0"/>
    <n v="0"/>
    <n v="0"/>
    <n v="3"/>
    <n v="1"/>
    <n v="0"/>
    <n v="0"/>
    <n v="0"/>
    <n v="0"/>
    <n v="0"/>
    <n v="1"/>
    <n v="0"/>
    <n v="0"/>
    <n v="0"/>
    <n v="0"/>
    <n v="0"/>
    <n v="0"/>
    <n v="0"/>
    <n v="0"/>
    <n v="0"/>
    <n v="0"/>
    <m/>
    <n v="2"/>
    <n v="0"/>
    <n v="0"/>
    <n v="-1"/>
    <n v="0"/>
    <s v="Censu et talha"/>
    <s v="Toussaint"/>
    <m/>
    <s v="De juridictione domus Devesseti"/>
    <s v="Ville Neuve de Devesset, dans la maison des enfants Morelli"/>
    <s v="Girandus Girandi de Pulinaco"/>
    <s v="Metheo de Tornemantel"/>
    <s v="Petro de la Fauria al' porronis"/>
    <s v="Johane de Mela al' ros"/>
    <m/>
    <m/>
    <s v="In quadam compositione olim facta inter dominum aniciensis episcopum et domum Devesseti"/>
  </r>
  <r>
    <n v="701"/>
    <m/>
    <s v="Blancha"/>
    <s v="Pastre"/>
    <x v="50"/>
    <m/>
    <s v="Filia Petri Pastre de Msalibrant condam"/>
    <m/>
    <s v="F"/>
    <n v="1343"/>
    <m/>
    <s v="Die Jonis post festum iunentionis sancte crucis"/>
    <s v="Raynaud de Fay"/>
    <s v="Mulier-licgia, justitabilis et expletabilis"/>
    <x v="1"/>
    <s v="Non"/>
    <s v="Oui"/>
    <s v="Oui"/>
    <s v="Oui"/>
    <s v="Non"/>
    <s v="Avec bœufs et animaux"/>
    <s v="Contractus emphiteotitarii"/>
    <x v="0"/>
    <x v="4"/>
    <x v="0"/>
    <x v="1"/>
    <x v="0"/>
    <x v="0"/>
    <x v="0"/>
    <x v="4"/>
    <x v="3"/>
    <x v="0"/>
    <x v="0"/>
    <s v="Non"/>
    <x v="0"/>
    <x v="0"/>
    <x v="0"/>
    <x v="0"/>
    <x v="0"/>
    <x v="0"/>
    <x v="0"/>
    <x v="0"/>
    <x v="0"/>
    <x v="0"/>
    <x v="0"/>
    <x v="0"/>
    <x v="0"/>
    <x v="0"/>
    <x v="0"/>
    <x v="0"/>
    <x v="0"/>
    <x v="0"/>
    <x v="0"/>
    <x v="0"/>
    <x v="0"/>
    <x v="0"/>
    <x v="0"/>
    <x v="0"/>
    <x v="0"/>
    <x v="0"/>
    <x v="0"/>
    <x v="0"/>
    <x v="0"/>
    <x v="1"/>
    <m/>
    <s v="Casale"/>
    <s v="Loco et territorio de Masalibrant"/>
    <m/>
    <s v="Tence"/>
    <n v="0.125"/>
    <n v="0"/>
    <n v="0"/>
    <n v="0"/>
    <n v="0"/>
    <n v="0"/>
    <n v="1.5"/>
    <n v="0.5"/>
    <n v="0"/>
    <n v="0"/>
    <n v="0"/>
    <n v="0"/>
    <n v="0"/>
    <n v="0.5"/>
    <n v="0"/>
    <n v="0"/>
    <n v="0"/>
    <n v="0"/>
    <n v="0"/>
    <n v="0"/>
    <n v="0"/>
    <n v="0"/>
    <n v="0"/>
    <n v="0"/>
    <m/>
    <n v="1"/>
    <n v="0"/>
    <n v="0"/>
    <n v="-0.5"/>
    <n v="0"/>
    <s v="Censu et talha"/>
    <s v="Toussaint"/>
    <m/>
    <m/>
    <s v="Ville Neuve de Devesset, dans la maison des enfants Morelli"/>
    <s v="Girandus Girandi de Pulinaco"/>
    <s v="Metheo de Tornemantel"/>
    <s v="Petro de la Fauria al' porronis"/>
    <s v="Johane de Mela al' ros"/>
    <m/>
    <m/>
    <m/>
  </r>
  <r>
    <n v="711"/>
    <m/>
    <s v="Marteta"/>
    <s v="Pastre"/>
    <x v="50"/>
    <m/>
    <s v="Filia Petri Pastre de Msalibrant condam"/>
    <m/>
    <s v="F"/>
    <n v="1343"/>
    <m/>
    <s v="Die Jonis post festum iunentionis sancte crucis"/>
    <s v="Raynaud de Fay"/>
    <s v="Mulier-licgia, justitabilis et expletabilis"/>
    <x v="1"/>
    <s v="Non"/>
    <s v="Oui"/>
    <s v="Non"/>
    <s v="Oui"/>
    <s v="Non"/>
    <s v="Avec animaux"/>
    <m/>
    <x v="0"/>
    <x v="0"/>
    <x v="2"/>
    <x v="0"/>
    <x v="0"/>
    <x v="0"/>
    <x v="0"/>
    <x v="4"/>
    <x v="0"/>
    <x v="0"/>
    <x v="0"/>
    <s v="Non"/>
    <x v="0"/>
    <x v="0"/>
    <x v="0"/>
    <x v="0"/>
    <x v="0"/>
    <x v="0"/>
    <x v="0"/>
    <x v="0"/>
    <x v="0"/>
    <x v="0"/>
    <x v="0"/>
    <x v="0"/>
    <x v="0"/>
    <x v="0"/>
    <x v="0"/>
    <x v="0"/>
    <x v="0"/>
    <x v="0"/>
    <x v="0"/>
    <x v="0"/>
    <x v="0"/>
    <x v="0"/>
    <x v="0"/>
    <x v="0"/>
    <x v="0"/>
    <x v="0"/>
    <x v="0"/>
    <x v="0"/>
    <x v="0"/>
    <x v="1"/>
    <m/>
    <m/>
    <s v="Loco et territorio de Masalibrant"/>
    <m/>
    <s v="Tence"/>
    <n v="0.125"/>
    <n v="0"/>
    <n v="0"/>
    <n v="0"/>
    <n v="0"/>
    <n v="0"/>
    <n v="1.5"/>
    <n v="0.25"/>
    <n v="0"/>
    <n v="0"/>
    <n v="0"/>
    <n v="0"/>
    <n v="0"/>
    <n v="0.5"/>
    <n v="0"/>
    <n v="0"/>
    <n v="0"/>
    <n v="0"/>
    <n v="0"/>
    <n v="0"/>
    <n v="0"/>
    <n v="0"/>
    <n v="0"/>
    <n v="0"/>
    <m/>
    <n v="1"/>
    <n v="0"/>
    <n v="0"/>
    <n v="-1"/>
    <n v="0"/>
    <m/>
    <s v="Toussaint"/>
    <m/>
    <m/>
    <s v="Ville Neuve de Devesset, dans la maison des enfants Morelli"/>
    <s v="Girandus Girandi de Pulinaco"/>
    <s v="Metheo de Tornemantel"/>
    <s v="Petro de la Fauria al' porronis"/>
    <s v="Johane de Mela al' ros"/>
    <m/>
    <m/>
    <m/>
  </r>
  <r>
    <n v="811"/>
    <m/>
    <s v="Egidus"/>
    <s v="Blachonis"/>
    <x v="50"/>
    <m/>
    <m/>
    <m/>
    <s v="H"/>
    <n v="1343"/>
    <s v="Juin"/>
    <n v="16"/>
    <s v="Raynaud de Fay"/>
    <s v="Homo-licgius, justitabilis et expletabilis"/>
    <x v="1"/>
    <s v="Non"/>
    <s v="Oui"/>
    <s v="Oui"/>
    <s v="Oui"/>
    <s v="Non"/>
    <m/>
    <m/>
    <x v="3"/>
    <x v="4"/>
    <x v="2"/>
    <x v="0"/>
    <x v="1"/>
    <x v="0"/>
    <x v="1"/>
    <x v="4"/>
    <x v="0"/>
    <x v="0"/>
    <x v="0"/>
    <s v="Oui"/>
    <x v="0"/>
    <x v="0"/>
    <x v="0"/>
    <x v="0"/>
    <x v="0"/>
    <x v="0"/>
    <x v="0"/>
    <x v="0"/>
    <x v="0"/>
    <x v="0"/>
    <x v="0"/>
    <x v="0"/>
    <x v="0"/>
    <x v="0"/>
    <x v="0"/>
    <x v="0"/>
    <x v="0"/>
    <x v="0"/>
    <x v="0"/>
    <x v="0"/>
    <x v="0"/>
    <x v="0"/>
    <x v="0"/>
    <x v="0"/>
    <x v="0"/>
    <x v="0"/>
    <x v="0"/>
    <x v="0"/>
    <x v="0"/>
    <x v="0"/>
    <m/>
    <s v="Domum + ortum + possessiones"/>
    <s v="Loco et territorio de Masalibrant"/>
    <m/>
    <s v="Tence"/>
    <n v="0.33333333333333331"/>
    <n v="0"/>
    <n v="0"/>
    <n v="0"/>
    <n v="0"/>
    <n v="0"/>
    <n v="5.5"/>
    <n v="0"/>
    <n v="0"/>
    <n v="0"/>
    <n v="0"/>
    <n v="0"/>
    <n v="0"/>
    <n v="1.5"/>
    <n v="1"/>
    <n v="0"/>
    <n v="0"/>
    <n v="0"/>
    <n v="0"/>
    <n v="0"/>
    <n v="0"/>
    <n v="0"/>
    <n v="0"/>
    <n v="0"/>
    <m/>
    <n v="1.4166666666666667"/>
    <n v="0"/>
    <n v="0"/>
    <n v="0"/>
    <n v="0"/>
    <m/>
    <s v="Toussaint"/>
    <m/>
    <s v="Promisit esse bonus et fidelis domini predicte"/>
    <s v="Devesset"/>
    <s v="Girandus Girandi de Pulinaco"/>
    <s v="Bernardo de Ruppe clerico"/>
    <s v="Johane Ariberii de Sancto Agrippavio"/>
    <s v="Petro Crosolem ordinis predicatorum"/>
    <m/>
    <m/>
    <m/>
  </r>
  <r>
    <n v="881"/>
    <m/>
    <s v="Matheus, Johannes et Bartholomeus"/>
    <s v="Blachonis"/>
    <x v="50"/>
    <m/>
    <s v="Filii Johannis Blachonis de Masalibrant"/>
    <m/>
    <s v="G"/>
    <n v="1343"/>
    <s v="Novembre"/>
    <n v="30"/>
    <s v="Raynaud de Fay"/>
    <s v="Homo-licgius, justitabilis et expletabilis"/>
    <x v="0"/>
    <s v="Non"/>
    <s v="Oui"/>
    <s v="Oui"/>
    <s v="Oui"/>
    <s v="Non"/>
    <s v="Avec bœufs et animaux"/>
    <s v="Contractus emphiteotitarii"/>
    <x v="2"/>
    <x v="2"/>
    <x v="2"/>
    <x v="1"/>
    <x v="1"/>
    <x v="1"/>
    <x v="1"/>
    <x v="4"/>
    <x v="0"/>
    <x v="0"/>
    <x v="0"/>
    <s v="Non"/>
    <x v="0"/>
    <x v="0"/>
    <x v="0"/>
    <x v="0"/>
    <x v="0"/>
    <x v="0"/>
    <x v="0"/>
    <x v="0"/>
    <x v="0"/>
    <x v="0"/>
    <x v="0"/>
    <x v="0"/>
    <x v="0"/>
    <x v="0"/>
    <x v="0"/>
    <x v="0"/>
    <x v="0"/>
    <x v="0"/>
    <x v="0"/>
    <x v="0"/>
    <x v="0"/>
    <x v="0"/>
    <x v="0"/>
    <x v="0"/>
    <x v="0"/>
    <x v="0"/>
    <x v="0"/>
    <x v="0"/>
    <x v="0"/>
    <x v="1"/>
    <m/>
    <s v="4 terris + prata + possessionibus + pasturale + possessiones"/>
    <s v="Loco et territorio de Masalibrant"/>
    <m/>
    <s v="Tence"/>
    <n v="1"/>
    <n v="0"/>
    <n v="0"/>
    <n v="0"/>
    <n v="0"/>
    <n v="0"/>
    <n v="24.5"/>
    <n v="0"/>
    <n v="1"/>
    <n v="0"/>
    <n v="0"/>
    <n v="0"/>
    <n v="0"/>
    <n v="9"/>
    <n v="0"/>
    <n v="0"/>
    <n v="0"/>
    <n v="-0.5"/>
    <n v="0"/>
    <n v="0"/>
    <n v="0"/>
    <n v="0"/>
    <n v="0"/>
    <n v="0"/>
    <s v="Terras et prate + terris et possessionibus + 2 terris + pasturale"/>
    <n v="10.916666666666668"/>
    <n v="2"/>
    <n v="0"/>
    <n v="0"/>
    <n v="0"/>
    <s v="Terres, pratis et possessionibus"/>
    <s v="Toussaint"/>
    <s v="De omnimoda juridictine et senhoria"/>
    <s v="Castri Devesseti"/>
    <s v="Devesset, dans la chambre de Frère Jean Meruli"/>
    <s v="Girandus Girandi de Pulinaco"/>
    <s v="Fratre Johanne Meruli"/>
    <s v="Gregorio Ferrandi"/>
    <s v="Andree de Jalibetas"/>
    <m/>
    <m/>
    <s v="In quadam compositione olim facta inter dominum aniciensis episcopum et domum Devesseti"/>
  </r>
  <r>
    <n v="1841"/>
    <m/>
    <s v="Jacmeta"/>
    <s v="Blachonis"/>
    <x v="50"/>
    <m/>
    <s v="Filia Jacmonis Blachonis de Masalibrant condam"/>
    <m/>
    <s v="F"/>
    <n v="1343"/>
    <s v="Février"/>
    <n v="20"/>
    <s v="Raynaud de Fay"/>
    <s v="Mulier-licgia, justitabilis et expletabilis ad omnimodas voluntatis"/>
    <x v="0"/>
    <s v="Non"/>
    <s v="Oui"/>
    <s v="Oui"/>
    <s v="Oui"/>
    <s v="Non"/>
    <m/>
    <m/>
    <x v="3"/>
    <x v="2"/>
    <x v="0"/>
    <x v="1"/>
    <x v="0"/>
    <x v="0"/>
    <x v="0"/>
    <x v="4"/>
    <x v="0"/>
    <x v="0"/>
    <x v="0"/>
    <s v="Non"/>
    <x v="0"/>
    <x v="0"/>
    <x v="0"/>
    <x v="0"/>
    <x v="0"/>
    <x v="0"/>
    <x v="0"/>
    <x v="0"/>
    <x v="0"/>
    <x v="0"/>
    <x v="0"/>
    <x v="0"/>
    <x v="0"/>
    <x v="0"/>
    <x v="0"/>
    <x v="0"/>
    <x v="0"/>
    <x v="0"/>
    <x v="0"/>
    <x v="0"/>
    <x v="0"/>
    <x v="0"/>
    <x v="0"/>
    <x v="0"/>
    <x v="0"/>
    <x v="0"/>
    <x v="0"/>
    <x v="0"/>
    <x v="0"/>
    <x v="0"/>
    <m/>
    <s v="Possessiones"/>
    <s v="Loco et territorio de Masalibrant"/>
    <m/>
    <s v="Tence"/>
    <n v="6.25E-2"/>
    <n v="0"/>
    <n v="0"/>
    <n v="0"/>
    <n v="0"/>
    <n v="0"/>
    <n v="1.125"/>
    <n v="0"/>
    <n v="0"/>
    <n v="0"/>
    <n v="0"/>
    <n v="0"/>
    <n v="0"/>
    <n v="0.375"/>
    <n v="0"/>
    <n v="0"/>
    <n v="0"/>
    <n v="0"/>
    <n v="0"/>
    <n v="0"/>
    <n v="0"/>
    <n v="0"/>
    <n v="0"/>
    <n v="0"/>
    <m/>
    <n v="0.33333333333333331"/>
    <n v="1.25"/>
    <n v="0"/>
    <n v="1"/>
    <n v="0"/>
    <m/>
    <s v="Toussaint"/>
    <m/>
    <m/>
    <s v="Devesset, in turre supra portam"/>
    <s v="Girandus Girandi de Pulinaco"/>
    <s v="Guillermo Blacha domicelli"/>
    <s v="Johannete Gasteo de Olenis"/>
    <m/>
    <m/>
    <m/>
    <m/>
  </r>
  <r>
    <n v="1842"/>
    <m/>
    <s v="Johannes"/>
    <s v="Blachonis"/>
    <x v="50"/>
    <m/>
    <s v="Filius Jacmonis Blachonis de Masalibrant codam"/>
    <s v="Pro Michaelis eius fratre et Aprila eius sororis"/>
    <s v="M"/>
    <n v="1345"/>
    <m/>
    <s v="Die lune in festo de collationis beati Johannis"/>
    <s v="Raynaud de Fay"/>
    <s v="Homo-licgius"/>
    <x v="0"/>
    <s v="Non"/>
    <s v="Oui"/>
    <s v="Non"/>
    <s v="Oui"/>
    <s v="Non"/>
    <s v="Ad omnimodas voluntates"/>
    <s v="Constractus emphiteotarii"/>
    <x v="2"/>
    <x v="0"/>
    <x v="0"/>
    <x v="0"/>
    <x v="0"/>
    <x v="0"/>
    <x v="0"/>
    <x v="1"/>
    <x v="0"/>
    <x v="0"/>
    <x v="0"/>
    <s v="Non"/>
    <x v="0"/>
    <x v="0"/>
    <x v="0"/>
    <x v="0"/>
    <x v="0"/>
    <x v="0"/>
    <x v="0"/>
    <x v="0"/>
    <x v="0"/>
    <x v="0"/>
    <x v="0"/>
    <x v="0"/>
    <x v="0"/>
    <x v="0"/>
    <x v="0"/>
    <x v="0"/>
    <x v="0"/>
    <x v="0"/>
    <x v="0"/>
    <x v="0"/>
    <x v="0"/>
    <x v="0"/>
    <x v="0"/>
    <x v="0"/>
    <x v="0"/>
    <x v="0"/>
    <x v="0"/>
    <x v="0"/>
    <x v="0"/>
    <x v="1"/>
    <m/>
    <s v="Domos"/>
    <s v="Loco et territorio de Masalibrant"/>
    <s v="Frère et sœur"/>
    <s v="Tence"/>
    <n v="8.3333333333333329E-2"/>
    <n v="0"/>
    <n v="0"/>
    <n v="0"/>
    <n v="0"/>
    <n v="0"/>
    <n v="3.1666666666666665"/>
    <n v="0"/>
    <n v="0"/>
    <n v="0"/>
    <n v="0"/>
    <n v="0"/>
    <n v="0"/>
    <n v="0.5"/>
    <n v="0"/>
    <n v="0"/>
    <n v="0"/>
    <n v="0"/>
    <n v="0"/>
    <n v="0"/>
    <n v="0"/>
    <n v="0"/>
    <n v="0"/>
    <n v="0"/>
    <m/>
    <n v="1"/>
    <n v="1.3333333333333333"/>
    <n v="3"/>
    <m/>
    <m/>
    <m/>
    <m/>
    <m/>
    <m/>
    <s v="Devesset, in camera Girandi Girandi de Pulinaco"/>
    <s v="Girandus Girandi de Pulinaco"/>
    <s v="Andree de Jalibertis"/>
    <s v="Laurentio de Croso"/>
    <s v="Andree eius fratrem"/>
    <m/>
    <m/>
    <m/>
  </r>
  <r>
    <n v="1843"/>
    <m/>
    <s v="Johanneta"/>
    <s v="Blachona"/>
    <x v="50"/>
    <m/>
    <m/>
    <m/>
    <s v="F"/>
    <n v="1343"/>
    <s v="Février"/>
    <n v="20"/>
    <s v="Raynaud de Fay"/>
    <s v="Mulier-licgia, justitabilis et expletabilis"/>
    <x v="0"/>
    <s v="Non"/>
    <s v="Oui"/>
    <s v="Oui"/>
    <s v="Oui"/>
    <s v="Non"/>
    <m/>
    <s v="Constractus emphiteotarii"/>
    <x v="3"/>
    <x v="2"/>
    <x v="2"/>
    <x v="1"/>
    <x v="1"/>
    <x v="1"/>
    <x v="1"/>
    <x v="1"/>
    <x v="1"/>
    <x v="1"/>
    <x v="0"/>
    <s v="Non"/>
    <x v="0"/>
    <x v="0"/>
    <x v="0"/>
    <x v="0"/>
    <x v="0"/>
    <x v="0"/>
    <x v="0"/>
    <x v="0"/>
    <x v="0"/>
    <x v="0"/>
    <x v="0"/>
    <x v="0"/>
    <x v="0"/>
    <x v="0"/>
    <x v="0"/>
    <x v="0"/>
    <x v="0"/>
    <x v="0"/>
    <x v="0"/>
    <x v="0"/>
    <x v="0"/>
    <x v="0"/>
    <x v="0"/>
    <x v="0"/>
    <x v="0"/>
    <x v="0"/>
    <x v="0"/>
    <x v="0"/>
    <x v="0"/>
    <x v="1"/>
    <m/>
    <m/>
    <s v="Manso et territorio de Masalibrant"/>
    <m/>
    <s v="Tence"/>
    <n v="0.25"/>
    <n v="0"/>
    <n v="0"/>
    <n v="0"/>
    <n v="0"/>
    <n v="1"/>
    <n v="0.5"/>
    <n v="0"/>
    <n v="0"/>
    <n v="0"/>
    <n v="0"/>
    <n v="0"/>
    <n v="0"/>
    <n v="1.5"/>
    <n v="0"/>
    <n v="0"/>
    <n v="0"/>
    <n v="0"/>
    <n v="0"/>
    <n v="0"/>
    <n v="0"/>
    <n v="0"/>
    <n v="0"/>
    <n v="0"/>
    <m/>
    <n v="1.5"/>
    <n v="1"/>
    <n v="0"/>
    <n v="0"/>
    <n v="0"/>
    <m/>
    <s v="Toussaint"/>
    <m/>
    <m/>
    <s v="Devesset, in turre supra portam"/>
    <s v="Girandus Girandi de Pulinaco"/>
    <s v="Guillermo Blacha domicelli"/>
    <s v="Johannete Gasteo de Olenis"/>
    <m/>
    <m/>
    <m/>
    <m/>
  </r>
  <r>
    <n v="1844"/>
    <m/>
    <s v="Marteta et Guillerma"/>
    <s v="Berlhonis"/>
    <x v="50"/>
    <m/>
    <s v="Filie Michaelis Berlhonis de Masalibrant"/>
    <m/>
    <s v="G"/>
    <n v="1345"/>
    <s v="Septembre"/>
    <n v="11"/>
    <s v="Raynaud de Fay"/>
    <s v="Mulier-licgia, justitabilis et expletabilis"/>
    <x v="0"/>
    <s v="Non"/>
    <s v="Oui"/>
    <s v="Non"/>
    <s v="Non"/>
    <s v="Non"/>
    <m/>
    <m/>
    <x v="3"/>
    <x v="2"/>
    <x v="0"/>
    <x v="0"/>
    <x v="1"/>
    <x v="0"/>
    <x v="0"/>
    <x v="1"/>
    <x v="0"/>
    <x v="0"/>
    <x v="0"/>
    <s v="Non"/>
    <x v="0"/>
    <x v="0"/>
    <x v="0"/>
    <x v="0"/>
    <x v="0"/>
    <x v="0"/>
    <x v="0"/>
    <x v="0"/>
    <x v="0"/>
    <x v="0"/>
    <x v="0"/>
    <x v="0"/>
    <x v="0"/>
    <x v="0"/>
    <x v="0"/>
    <x v="0"/>
    <x v="0"/>
    <x v="0"/>
    <x v="0"/>
    <x v="0"/>
    <x v="0"/>
    <x v="0"/>
    <x v="0"/>
    <x v="0"/>
    <x v="0"/>
    <x v="0"/>
    <x v="0"/>
    <x v="0"/>
    <x v="0"/>
    <x v="1"/>
    <m/>
    <s v="Domum"/>
    <s v="Loco et territorio de Masalibrant"/>
    <m/>
    <s v="Pas de mesure de céréale"/>
    <n v="0.1"/>
    <n v="0"/>
    <n v="0"/>
    <n v="0"/>
    <n v="0"/>
    <n v="0"/>
    <n v="1.5"/>
    <n v="0"/>
    <n v="0"/>
    <n v="0"/>
    <n v="0"/>
    <n v="0"/>
    <n v="0"/>
    <n v="0.5"/>
    <n v="0"/>
    <n v="0"/>
    <n v="0"/>
    <n v="0"/>
    <n v="0"/>
    <n v="0"/>
    <n v="0"/>
    <n v="0"/>
    <n v="0"/>
    <n v="0"/>
    <m/>
    <n v="0.83333333333333337"/>
    <n v="0"/>
    <n v="0"/>
    <n v="0"/>
    <n v="0"/>
    <m/>
    <s v="Toussaint"/>
    <m/>
    <m/>
    <s v="Devesset, in camera Girandi Girandi de Pulinaco"/>
    <s v="Girandus Girandi de Pulinaco"/>
    <s v="Johanne de Mansodonoleto diacono"/>
    <s v="Johaneto filio Thome Chambonant"/>
    <m/>
    <m/>
    <m/>
    <m/>
  </r>
  <r>
    <n v="1845"/>
    <m/>
    <s v="Marteta "/>
    <s v="Girarda"/>
    <x v="50"/>
    <m/>
    <m/>
    <m/>
    <s v="F"/>
    <n v="1343"/>
    <m/>
    <s v="Die lune post festum Catedre Sancti Petri"/>
    <s v="Raynaud de Fay"/>
    <s v="Mulier-licgia, justitabilis et expletabilis"/>
    <x v="0"/>
    <s v="Non"/>
    <s v="Oui"/>
    <s v="Non"/>
    <s v="Oui"/>
    <s v="Non"/>
    <m/>
    <m/>
    <x v="3"/>
    <x v="2"/>
    <x v="2"/>
    <x v="1"/>
    <x v="1"/>
    <x v="1"/>
    <x v="1"/>
    <x v="1"/>
    <x v="1"/>
    <x v="1"/>
    <x v="0"/>
    <s v="Non"/>
    <x v="0"/>
    <x v="0"/>
    <x v="0"/>
    <x v="0"/>
    <x v="0"/>
    <x v="0"/>
    <x v="0"/>
    <x v="0"/>
    <x v="0"/>
    <x v="0"/>
    <x v="0"/>
    <x v="0"/>
    <x v="0"/>
    <x v="0"/>
    <x v="0"/>
    <x v="0"/>
    <x v="0"/>
    <x v="0"/>
    <x v="0"/>
    <x v="0"/>
    <x v="0"/>
    <x v="0"/>
    <x v="0"/>
    <x v="0"/>
    <x v="0"/>
    <x v="0"/>
    <x v="0"/>
    <x v="0"/>
    <x v="0"/>
    <x v="1"/>
    <m/>
    <m/>
    <s v="Loco et territorio de Masalibrant"/>
    <m/>
    <s v="Tence"/>
    <n v="0"/>
    <n v="0"/>
    <n v="0"/>
    <n v="0"/>
    <n v="0"/>
    <n v="0"/>
    <n v="5"/>
    <n v="0"/>
    <n v="0"/>
    <n v="0"/>
    <n v="0"/>
    <n v="0"/>
    <n v="0"/>
    <n v="1.5"/>
    <n v="0"/>
    <n v="0"/>
    <n v="0"/>
    <n v="0"/>
    <n v="0"/>
    <n v="0"/>
    <n v="0"/>
    <n v="0"/>
    <n v="0"/>
    <n v="0"/>
    <m/>
    <n v="3.25"/>
    <n v="1"/>
    <n v="0"/>
    <n v="0"/>
    <n v="0"/>
    <m/>
    <s v="Toussaint"/>
    <m/>
    <m/>
    <s v="Devesset, in turre supra portam"/>
    <s v="Girandus Girandi de Pulinaco"/>
    <s v="Bernardo de Ruppe clerico"/>
    <s v="Fratre Petro de Casalibus"/>
    <m/>
    <m/>
    <m/>
    <m/>
  </r>
  <r>
    <n v="1371"/>
    <s v="Page dure à lire"/>
    <s v="Jacobus"/>
    <s v="Albi"/>
    <x v="18"/>
    <m/>
    <s v="Filius Petri Albi del Mastortet"/>
    <m/>
    <s v="H"/>
    <n v="1343"/>
    <s v="Octobre"/>
    <n v="26"/>
    <s v="Raynaud de Fay"/>
    <s v="Homo-licgius, justitabilis et expletabilis"/>
    <x v="1"/>
    <s v="Non"/>
    <s v="Oui"/>
    <s v="Oui"/>
    <s v="Oui"/>
    <s v="Non"/>
    <s v="Avec bœufs et animaux"/>
    <m/>
    <x v="2"/>
    <x v="4"/>
    <x v="2"/>
    <x v="0"/>
    <x v="0"/>
    <x v="0"/>
    <x v="4"/>
    <x v="6"/>
    <x v="0"/>
    <x v="0"/>
    <x v="0"/>
    <s v="Non"/>
    <x v="0"/>
    <x v="0"/>
    <x v="0"/>
    <x v="0"/>
    <x v="0"/>
    <x v="0"/>
    <x v="0"/>
    <x v="1"/>
    <x v="0"/>
    <x v="0"/>
    <x v="0"/>
    <x v="0"/>
    <x v="0"/>
    <x v="0"/>
    <x v="0"/>
    <x v="0"/>
    <x v="0"/>
    <x v="0"/>
    <x v="0"/>
    <x v="0"/>
    <x v="0"/>
    <x v="0"/>
    <x v="0"/>
    <x v="0"/>
    <x v="0"/>
    <x v="0"/>
    <x v="0"/>
    <x v="0"/>
    <x v="0"/>
    <x v="0"/>
    <s v="Fin redevance pas lisible"/>
    <s v="2 domos + ortum + 7 terram + 3 petiam + 1 pasturala + prata"/>
    <m/>
    <m/>
    <s v="Tence"/>
    <n v="0"/>
    <n v="0"/>
    <n v="0"/>
    <n v="0"/>
    <n v="0"/>
    <n v="0"/>
    <n v="10"/>
    <n v="1"/>
    <n v="0"/>
    <n v="0"/>
    <n v="0"/>
    <n v="0"/>
    <n v="0"/>
    <n v="0"/>
    <n v="0"/>
    <n v="0"/>
    <n v="0"/>
    <n v="0"/>
    <n v="0"/>
    <n v="0"/>
    <n v="0"/>
    <n v="0"/>
    <n v="0"/>
    <n v="0"/>
    <m/>
    <n v="0"/>
    <n v="0"/>
    <n v="0"/>
    <n v="0"/>
    <n v="0"/>
    <m/>
    <m/>
    <m/>
    <m/>
    <m/>
    <s v="Girandus Girandi de Pulinaco"/>
    <m/>
    <m/>
    <m/>
    <m/>
    <m/>
    <s v="In quadam compositione olim facta inter dominum aniciensis episcopum et domum Devesseti"/>
  </r>
  <r>
    <n v="801"/>
    <m/>
    <s v="Petrus et Matheus"/>
    <s v="Chalvents de Mendigolis"/>
    <x v="51"/>
    <s v="Mendigolas ; Parrochie de Tensano"/>
    <s v="Matheus filius Stephani Chalment de Mendigolis"/>
    <s v="Matheus habens autoritatem a dicto suo patre"/>
    <s v="G"/>
    <n v="1343"/>
    <s v="Juin"/>
    <n v="4"/>
    <s v="Raynaud de Fay"/>
    <s v="Promisit esse fidelis tenementarius domus Devesseti"/>
    <x v="0"/>
    <m/>
    <m/>
    <m/>
    <m/>
    <m/>
    <m/>
    <s v="Contractus emphiteotitarii"/>
    <x v="0"/>
    <x v="0"/>
    <x v="1"/>
    <x v="0"/>
    <x v="3"/>
    <x v="2"/>
    <x v="4"/>
    <x v="1"/>
    <x v="0"/>
    <x v="0"/>
    <x v="0"/>
    <s v="Non"/>
    <x v="0"/>
    <x v="0"/>
    <x v="0"/>
    <x v="0"/>
    <x v="0"/>
    <x v="0"/>
    <x v="0"/>
    <x v="0"/>
    <x v="0"/>
    <x v="0"/>
    <x v="0"/>
    <x v="0"/>
    <x v="0"/>
    <x v="0"/>
    <x v="0"/>
    <x v="0"/>
    <x v="0"/>
    <x v="0"/>
    <x v="0"/>
    <x v="0"/>
    <x v="0"/>
    <x v="0"/>
    <x v="0"/>
    <x v="0"/>
    <x v="0"/>
    <x v="0"/>
    <x v="0"/>
    <x v="0"/>
    <x v="0"/>
    <x v="0"/>
    <m/>
    <s v="1 Prata + 1 Pasturale + 1 Nemus"/>
    <m/>
    <s v="Père"/>
    <m/>
    <n v="0"/>
    <n v="0"/>
    <n v="0"/>
    <n v="0"/>
    <n v="0"/>
    <n v="0"/>
    <n v="0"/>
    <n v="0"/>
    <n v="0"/>
    <n v="0"/>
    <n v="0"/>
    <n v="0"/>
    <n v="0"/>
    <n v="0"/>
    <n v="0"/>
    <n v="0"/>
    <n v="0"/>
    <n v="0"/>
    <n v="0"/>
    <n v="0"/>
    <n v="0"/>
    <n v="0"/>
    <n v="0"/>
    <n v="0"/>
    <m/>
    <n v="1.6666666666666667"/>
    <n v="0"/>
    <n v="0"/>
    <n v="0"/>
    <n v="0"/>
    <m/>
    <s v="Toussaint"/>
    <m/>
    <m/>
    <s v="Devesset"/>
    <s v="Girandus Girandi de Pulinaco"/>
    <s v="Bernardo de Ruppe clerico"/>
    <s v="Gregorio Ferrandi"/>
    <m/>
    <m/>
    <m/>
    <m/>
  </r>
  <r>
    <n v="1822"/>
    <m/>
    <s v="Girandus"/>
    <s v="Fores"/>
    <x v="52"/>
    <m/>
    <s v="Filius Stephani Fotes de Montelheto"/>
    <s v="Pro Johanne eius fratre et eius sororis"/>
    <s v="H"/>
    <n v="1343"/>
    <m/>
    <s v="Die Sabati in festo Beati Johannis Anthoni"/>
    <s v="Raynaud de Fay"/>
    <m/>
    <x v="0"/>
    <m/>
    <m/>
    <m/>
    <m/>
    <m/>
    <m/>
    <s v="Constractus emphiteotarii"/>
    <x v="0"/>
    <x v="0"/>
    <x v="0"/>
    <x v="0"/>
    <x v="0"/>
    <x v="0"/>
    <x v="0"/>
    <x v="4"/>
    <x v="0"/>
    <x v="0"/>
    <x v="0"/>
    <s v="Non"/>
    <x v="0"/>
    <x v="0"/>
    <x v="0"/>
    <x v="0"/>
    <x v="0"/>
    <x v="0"/>
    <x v="0"/>
    <x v="0"/>
    <x v="0"/>
    <x v="0"/>
    <x v="0"/>
    <x v="0"/>
    <x v="0"/>
    <x v="0"/>
    <x v="0"/>
    <x v="0"/>
    <x v="0"/>
    <x v="0"/>
    <x v="0"/>
    <x v="0"/>
    <x v="0"/>
    <x v="0"/>
    <x v="0"/>
    <x v="0"/>
    <x v="0"/>
    <x v="0"/>
    <x v="0"/>
    <x v="0"/>
    <x v="0"/>
    <x v="0"/>
    <m/>
    <s v="2 terre petiam"/>
    <m/>
    <s v="Frère et sœur"/>
    <s v="Devesset"/>
    <n v="0"/>
    <n v="0"/>
    <n v="0"/>
    <n v="0"/>
    <n v="0"/>
    <n v="0"/>
    <n v="0"/>
    <n v="0"/>
    <n v="0"/>
    <n v="0"/>
    <n v="0"/>
    <n v="0"/>
    <n v="0"/>
    <n v="1"/>
    <n v="0"/>
    <n v="0"/>
    <n v="0"/>
    <n v="0"/>
    <n v="0"/>
    <n v="0"/>
    <n v="0"/>
    <n v="0"/>
    <n v="0"/>
    <n v="0"/>
    <s v="2 partem terre"/>
    <n v="0"/>
    <n v="0"/>
    <n v="0"/>
    <n v="0"/>
    <n v="0"/>
    <m/>
    <s v="Toussaint"/>
    <m/>
    <m/>
    <s v="Devesset, in turre supra portam"/>
    <s v="Girandus Girandi de Pulinaco"/>
    <s v="Fratre Petro de Casalibus"/>
    <s v="Petro Martini de Hereone"/>
    <m/>
    <m/>
    <m/>
    <m/>
  </r>
  <r>
    <n v="1823"/>
    <m/>
    <s v="Guillerma"/>
    <s v="Foresa"/>
    <x v="52"/>
    <m/>
    <m/>
    <m/>
    <s v="F"/>
    <n v="1343"/>
    <m/>
    <s v="Die Sabati in festo Beati Johannis Anthoni"/>
    <s v="Raynaud de Fay"/>
    <m/>
    <x v="0"/>
    <m/>
    <m/>
    <m/>
    <m/>
    <m/>
    <m/>
    <s v="Constractus emphiteotarii"/>
    <x v="0"/>
    <x v="0"/>
    <x v="0"/>
    <x v="0"/>
    <x v="0"/>
    <x v="0"/>
    <x v="0"/>
    <x v="4"/>
    <x v="0"/>
    <x v="0"/>
    <x v="0"/>
    <s v="Non"/>
    <x v="0"/>
    <x v="0"/>
    <x v="0"/>
    <x v="0"/>
    <x v="0"/>
    <x v="0"/>
    <x v="0"/>
    <x v="0"/>
    <x v="0"/>
    <x v="0"/>
    <x v="0"/>
    <x v="0"/>
    <x v="0"/>
    <x v="0"/>
    <x v="0"/>
    <x v="0"/>
    <x v="0"/>
    <x v="0"/>
    <x v="0"/>
    <x v="0"/>
    <x v="0"/>
    <x v="0"/>
    <x v="0"/>
    <x v="0"/>
    <x v="0"/>
    <x v="0"/>
    <x v="0"/>
    <x v="0"/>
    <x v="0"/>
    <x v="0"/>
    <m/>
    <s v="Terre petiam"/>
    <m/>
    <m/>
    <s v="Devesset"/>
    <n v="0"/>
    <n v="0"/>
    <n v="0"/>
    <n v="0"/>
    <n v="0"/>
    <n v="0"/>
    <n v="0"/>
    <n v="0"/>
    <n v="0"/>
    <n v="0"/>
    <n v="0"/>
    <n v="0"/>
    <n v="0"/>
    <n v="5"/>
    <n v="0"/>
    <n v="0"/>
    <n v="0"/>
    <n v="0"/>
    <n v="0"/>
    <n v="0"/>
    <n v="0"/>
    <n v="0"/>
    <n v="0"/>
    <n v="0"/>
    <s v="Terre petiam"/>
    <n v="0"/>
    <n v="0"/>
    <n v="0"/>
    <n v="0"/>
    <n v="0"/>
    <m/>
    <s v="Toussaint"/>
    <m/>
    <s v="De omnimoda juridictione castri Devesseti"/>
    <s v="Devesset, in turre supra portam"/>
    <s v="Girandus Girandi de Pulinaco"/>
    <s v="Fratre Petro de Casalibus"/>
    <s v="Petro Martini de Hereone"/>
    <m/>
    <m/>
    <m/>
    <m/>
  </r>
  <r>
    <n v="1824"/>
    <m/>
    <s v="Johannes"/>
    <s v="Fores"/>
    <x v="52"/>
    <m/>
    <m/>
    <m/>
    <s v="H"/>
    <n v="1343"/>
    <m/>
    <s v="Die Sabati in festo Beati Johannis Anthoni"/>
    <s v="Raynaud de Fay"/>
    <m/>
    <x v="0"/>
    <m/>
    <m/>
    <m/>
    <m/>
    <m/>
    <m/>
    <s v="Constractus emphiteotarii"/>
    <x v="3"/>
    <x v="0"/>
    <x v="0"/>
    <x v="0"/>
    <x v="0"/>
    <x v="0"/>
    <x v="0"/>
    <x v="1"/>
    <x v="0"/>
    <x v="0"/>
    <x v="0"/>
    <s v="Non"/>
    <x v="0"/>
    <x v="0"/>
    <x v="0"/>
    <x v="0"/>
    <x v="0"/>
    <x v="0"/>
    <x v="0"/>
    <x v="0"/>
    <x v="0"/>
    <x v="0"/>
    <x v="0"/>
    <x v="0"/>
    <x v="0"/>
    <x v="0"/>
    <x v="0"/>
    <x v="0"/>
    <x v="0"/>
    <x v="0"/>
    <x v="0"/>
    <x v="0"/>
    <x v="0"/>
    <x v="0"/>
    <x v="0"/>
    <x v="0"/>
    <x v="0"/>
    <x v="0"/>
    <x v="0"/>
    <x v="0"/>
    <x v="0"/>
    <x v="0"/>
    <m/>
    <s v="Domum"/>
    <m/>
    <m/>
    <s v="Devesset"/>
    <n v="0"/>
    <n v="0"/>
    <n v="0"/>
    <n v="0"/>
    <n v="0"/>
    <n v="0"/>
    <n v="0"/>
    <n v="0"/>
    <n v="0"/>
    <n v="0"/>
    <n v="0"/>
    <n v="0"/>
    <n v="0"/>
    <n v="0.5"/>
    <n v="0"/>
    <n v="0"/>
    <n v="0"/>
    <n v="0"/>
    <n v="0"/>
    <n v="0"/>
    <n v="0"/>
    <n v="0"/>
    <n v="0"/>
    <n v="0"/>
    <s v="Domum"/>
    <n v="0"/>
    <n v="0"/>
    <n v="0"/>
    <n v="0"/>
    <n v="0"/>
    <m/>
    <s v="Toussaint"/>
    <m/>
    <s v="De omnimoda juridictione castri Devesseti"/>
    <s v="Devesset, in turre supra portam"/>
    <s v="Girandus Girandi de Pulinaco"/>
    <s v="Fratre Petro de Casalibus"/>
    <s v="Petro Martini de Hereone"/>
    <m/>
    <m/>
    <m/>
    <m/>
  </r>
  <r>
    <n v="1172"/>
    <m/>
    <s v="Johannis"/>
    <s v="De Curtibus"/>
    <x v="53"/>
    <s v="Parochie de Lanastres"/>
    <m/>
    <m/>
    <s v="H"/>
    <n v="1343"/>
    <s v="Janvier"/>
    <n v="26"/>
    <s v="Raynaud de Fay"/>
    <m/>
    <x v="0"/>
    <m/>
    <m/>
    <m/>
    <m/>
    <m/>
    <m/>
    <s v="Constractus emphiteotarii"/>
    <x v="0"/>
    <x v="0"/>
    <x v="9"/>
    <x v="0"/>
    <x v="0"/>
    <x v="0"/>
    <x v="0"/>
    <x v="1"/>
    <x v="0"/>
    <x v="0"/>
    <x v="0"/>
    <s v="Non"/>
    <x v="0"/>
    <x v="0"/>
    <x v="0"/>
    <x v="0"/>
    <x v="0"/>
    <x v="0"/>
    <x v="0"/>
    <x v="0"/>
    <x v="0"/>
    <x v="0"/>
    <x v="0"/>
    <x v="0"/>
    <x v="0"/>
    <x v="0"/>
    <x v="0"/>
    <x v="0"/>
    <x v="0"/>
    <x v="0"/>
    <x v="0"/>
    <x v="0"/>
    <x v="0"/>
    <x v="0"/>
    <x v="0"/>
    <x v="0"/>
    <x v="0"/>
    <x v="0"/>
    <x v="0"/>
    <x v="0"/>
    <x v="0"/>
    <x v="0"/>
    <m/>
    <s v="Unius dimidiam Seytoratam Prati"/>
    <m/>
    <m/>
    <m/>
    <n v="0"/>
    <n v="0"/>
    <n v="0"/>
    <n v="0"/>
    <n v="0"/>
    <n v="0"/>
    <n v="0"/>
    <n v="0"/>
    <n v="0"/>
    <n v="0"/>
    <n v="0"/>
    <n v="0"/>
    <n v="0"/>
    <n v="0"/>
    <n v="0"/>
    <n v="0"/>
    <n v="0"/>
    <n v="0"/>
    <n v="0"/>
    <n v="0"/>
    <n v="0"/>
    <n v="0"/>
    <n v="0"/>
    <n v="0"/>
    <s v="Unius dimidiam Seytoratam Prati"/>
    <n v="1"/>
    <n v="0"/>
    <n v="0"/>
    <n v="0"/>
    <n v="0"/>
    <m/>
    <s v="Toussaint"/>
    <m/>
    <m/>
    <s v="Saint-Agrève, in gramero Devesseti"/>
    <s v="Girandus Girandi de Pulinaco"/>
    <s v="Guillermo de Curtibus"/>
    <s v="Petro Valeta de Montilio"/>
    <m/>
    <m/>
    <m/>
    <m/>
  </r>
  <r>
    <n v="1802"/>
    <m/>
    <s v="Peironetus"/>
    <s v="De Montreont"/>
    <x v="54"/>
    <m/>
    <s v="Maritus Guigone filie Mathei de Hereone condam"/>
    <s v="Nemonie Guigone eius uxoris"/>
    <s v="H"/>
    <n v="1343"/>
    <s v="Janvier"/>
    <n v="13"/>
    <s v="Raynaud de Fay"/>
    <s v="Promisit esse fidelis tenementarius domui Devesseti"/>
    <x v="0"/>
    <m/>
    <m/>
    <m/>
    <m/>
    <m/>
    <m/>
    <s v="Constractus emphiteotarii"/>
    <x v="0"/>
    <x v="0"/>
    <x v="2"/>
    <x v="0"/>
    <x v="0"/>
    <x v="0"/>
    <x v="0"/>
    <x v="1"/>
    <x v="0"/>
    <x v="0"/>
    <x v="0"/>
    <s v="Non"/>
    <x v="0"/>
    <x v="0"/>
    <x v="0"/>
    <x v="0"/>
    <x v="0"/>
    <x v="0"/>
    <x v="0"/>
    <x v="0"/>
    <x v="0"/>
    <x v="0"/>
    <x v="0"/>
    <x v="0"/>
    <x v="3"/>
    <x v="0"/>
    <x v="0"/>
    <x v="0"/>
    <x v="0"/>
    <x v="0"/>
    <x v="0"/>
    <x v="0"/>
    <x v="0"/>
    <x v="0"/>
    <x v="0"/>
    <x v="0"/>
    <x v="0"/>
    <x v="0"/>
    <x v="0"/>
    <x v="0"/>
    <x v="0"/>
    <x v="0"/>
    <m/>
    <s v="Tenementum + pratis"/>
    <m/>
    <s v="Femme"/>
    <s v="Devesset"/>
    <n v="0"/>
    <n v="0"/>
    <n v="0"/>
    <n v="0"/>
    <n v="0"/>
    <n v="0"/>
    <n v="0"/>
    <n v="1"/>
    <n v="0"/>
    <n v="0"/>
    <n v="0"/>
    <n v="0"/>
    <n v="0"/>
    <n v="0"/>
    <n v="1"/>
    <n v="0"/>
    <n v="0"/>
    <n v="0"/>
    <n v="0"/>
    <n v="0"/>
    <n v="0"/>
    <n v="0"/>
    <n v="0"/>
    <n v="0"/>
    <s v="Tenementum + pratis"/>
    <n v="6"/>
    <n v="0"/>
    <n v="0"/>
    <n v="0"/>
    <n v="0"/>
    <m/>
    <s v="Toussaint"/>
    <s v="Mero et mixto imperio"/>
    <s v="De omnimoda juridictione castri Devesseti"/>
    <s v="Devesset, in turre supra portam"/>
    <s v="Girandus Girandi de Pulinaco"/>
    <s v="Petro Dulcis de Sancto Agrippano"/>
    <s v="Petro Del Tremole"/>
    <s v="Stephano Solherii de Hereone"/>
    <m/>
    <m/>
    <m/>
  </r>
  <r>
    <n v="491"/>
    <m/>
    <s v="Hugo"/>
    <s v="De Paulhac"/>
    <x v="55"/>
    <m/>
    <m/>
    <m/>
    <s v="H"/>
    <n v="1343"/>
    <s v="Avril"/>
    <n v="9"/>
    <s v="Raynaud de Fay"/>
    <s v="Homo-licgius, justitabilis et expletabilis"/>
    <x v="1"/>
    <s v="Non"/>
    <s v="Oui"/>
    <s v="Oui"/>
    <s v="Oui"/>
    <s v="Non"/>
    <s v="Avec bœufs et animaux"/>
    <s v="Contractus emphiteotitarii"/>
    <x v="3"/>
    <x v="5"/>
    <x v="2"/>
    <x v="0"/>
    <x v="1"/>
    <x v="0"/>
    <x v="0"/>
    <x v="4"/>
    <x v="0"/>
    <x v="0"/>
    <x v="0"/>
    <s v="Non"/>
    <x v="0"/>
    <x v="0"/>
    <x v="0"/>
    <x v="0"/>
    <x v="0"/>
    <x v="0"/>
    <x v="0"/>
    <x v="0"/>
    <x v="0"/>
    <x v="0"/>
    <x v="0"/>
    <x v="0"/>
    <x v="0"/>
    <x v="0"/>
    <x v="0"/>
    <x v="0"/>
    <x v="0"/>
    <x v="0"/>
    <x v="0"/>
    <x v="0"/>
    <x v="0"/>
    <x v="0"/>
    <x v="0"/>
    <x v="0"/>
    <x v="0"/>
    <x v="0"/>
    <x v="0"/>
    <x v="0"/>
    <x v="0"/>
    <x v="1"/>
    <m/>
    <s v="Domum"/>
    <s v="Loco et territorio de Paulhac"/>
    <m/>
    <s v="Devesset"/>
    <n v="1"/>
    <n v="0"/>
    <n v="0"/>
    <n v="0"/>
    <n v="0"/>
    <n v="0"/>
    <n v="10.666666666666666"/>
    <n v="0"/>
    <n v="0"/>
    <n v="0"/>
    <n v="0"/>
    <n v="0"/>
    <n v="0"/>
    <n v="1.5"/>
    <n v="0"/>
    <n v="0"/>
    <n v="0"/>
    <n v="0"/>
    <n v="0"/>
    <n v="0"/>
    <n v="0"/>
    <n v="0"/>
    <n v="0"/>
    <n v="0"/>
    <s v="Pasturali"/>
    <n v="5.5"/>
    <n v="0"/>
    <n v="0"/>
    <n v="0"/>
    <n v="0"/>
    <s v="Censu et talha"/>
    <s v="Toussaint"/>
    <m/>
    <s v="Castri Devesseti"/>
    <s v="Devesset"/>
    <s v="Girandus Girandi de Pulinaco"/>
    <s v="Fratre Johanne Meruli"/>
    <s v="Heustachio de quinteato"/>
    <m/>
    <m/>
    <m/>
    <s v="In quadam compositione olim facta inter dominum aniciensis episcopum et domum Devesseti"/>
  </r>
  <r>
    <n v="501"/>
    <m/>
    <s v="Petrus"/>
    <s v="De Paulhac"/>
    <x v="55"/>
    <m/>
    <s v="Filius Poncii de Paulhac"/>
    <s v="Nomine Laurencii eius fratris"/>
    <s v="H"/>
    <n v="1343"/>
    <s v="Avril"/>
    <n v="9"/>
    <s v="Raynaud de Fay"/>
    <s v="Homo-licgius, justitabilis et expletabilis"/>
    <x v="1"/>
    <s v="Non"/>
    <s v="Oui"/>
    <s v="Oui"/>
    <s v="Oui"/>
    <s v="Non"/>
    <s v="Avec bœufs et animaux"/>
    <s v="Contractus emphiteotitarii"/>
    <x v="2"/>
    <x v="2"/>
    <x v="2"/>
    <x v="1"/>
    <x v="1"/>
    <x v="0"/>
    <x v="0"/>
    <x v="4"/>
    <x v="0"/>
    <x v="0"/>
    <x v="0"/>
    <s v="Non"/>
    <x v="0"/>
    <x v="0"/>
    <x v="0"/>
    <x v="0"/>
    <x v="0"/>
    <x v="0"/>
    <x v="0"/>
    <x v="4"/>
    <x v="0"/>
    <x v="0"/>
    <x v="0"/>
    <x v="0"/>
    <x v="0"/>
    <x v="0"/>
    <x v="0"/>
    <x v="0"/>
    <x v="0"/>
    <x v="0"/>
    <x v="0"/>
    <x v="0"/>
    <x v="0"/>
    <x v="0"/>
    <x v="0"/>
    <x v="0"/>
    <x v="0"/>
    <x v="0"/>
    <x v="0"/>
    <x v="0"/>
    <x v="0"/>
    <x v="1"/>
    <m/>
    <m/>
    <s v="Territorio de Paulhac"/>
    <s v="Frère"/>
    <s v="Devesset"/>
    <n v="1"/>
    <n v="0"/>
    <n v="0"/>
    <n v="0"/>
    <n v="0"/>
    <n v="0"/>
    <n v="11.166666666666666"/>
    <n v="0"/>
    <n v="0"/>
    <n v="0"/>
    <n v="0"/>
    <n v="0"/>
    <n v="0"/>
    <n v="4"/>
    <n v="0"/>
    <n v="0"/>
    <n v="0"/>
    <n v="0"/>
    <n v="0"/>
    <n v="0"/>
    <n v="0"/>
    <n v="0"/>
    <n v="0"/>
    <n v="0"/>
    <s v="Prato + petia"/>
    <n v="5.833333333333333"/>
    <n v="0"/>
    <n v="0"/>
    <n v="0"/>
    <n v="0"/>
    <s v="Talha annua"/>
    <s v="Toussaint"/>
    <m/>
    <s v="Castri Devesseti"/>
    <s v="Devesset"/>
    <s v="Girandus Girandi de Pulinaco"/>
    <s v="Fratre Johanne Meruli"/>
    <s v="Heustachio de quinteato"/>
    <m/>
    <m/>
    <m/>
    <s v="In quadam compositione olim facta inter dominum aniciensis episcopum et domum Devesseti"/>
  </r>
  <r>
    <n v="871"/>
    <m/>
    <s v="Johannes + Johannes"/>
    <s v="Socherii + Sanhas de Podio Brunent"/>
    <x v="56"/>
    <m/>
    <m/>
    <s v="Johannes Socherii nomine Guillerme eius uxoris et ambo"/>
    <s v="H"/>
    <n v="1343"/>
    <s v="Novembre"/>
    <n v="26"/>
    <s v="Raynaud de Fay"/>
    <s v="Homo-licgius, justitabilis et expletabilis"/>
    <x v="0"/>
    <s v="Non"/>
    <s v="Oui"/>
    <s v="Oui"/>
    <s v="Oui"/>
    <s v="Non"/>
    <s v="Avec bœufs et animaux"/>
    <s v="Contractus emphiteotitarii"/>
    <x v="2"/>
    <x v="2"/>
    <x v="2"/>
    <x v="0"/>
    <x v="0"/>
    <x v="0"/>
    <x v="0"/>
    <x v="4"/>
    <x v="0"/>
    <x v="0"/>
    <x v="0"/>
    <s v="Non"/>
    <x v="0"/>
    <x v="0"/>
    <x v="0"/>
    <x v="0"/>
    <x v="0"/>
    <x v="0"/>
    <x v="0"/>
    <x v="0"/>
    <x v="0"/>
    <x v="0"/>
    <x v="0"/>
    <x v="0"/>
    <x v="0"/>
    <x v="0"/>
    <x v="0"/>
    <x v="0"/>
    <x v="0"/>
    <x v="0"/>
    <x v="0"/>
    <x v="0"/>
    <x v="0"/>
    <x v="0"/>
    <x v="0"/>
    <x v="0"/>
    <x v="0"/>
    <x v="0"/>
    <x v="0"/>
    <x v="0"/>
    <x v="0"/>
    <x v="1"/>
    <m/>
    <s v="Manso de Podio Brunent"/>
    <s v="Loco et territorio de Podio Brunent"/>
    <s v="Femme"/>
    <s v="Fay"/>
    <n v="1"/>
    <n v="0"/>
    <n v="0"/>
    <n v="0"/>
    <n v="0"/>
    <n v="0"/>
    <n v="6"/>
    <n v="0"/>
    <n v="0"/>
    <n v="0"/>
    <n v="0"/>
    <n v="0"/>
    <n v="0"/>
    <n v="10"/>
    <n v="0"/>
    <n v="0"/>
    <n v="0"/>
    <n v="0"/>
    <n v="0"/>
    <n v="0"/>
    <n v="0"/>
    <n v="0"/>
    <n v="0"/>
    <n v="0"/>
    <m/>
    <n v="27"/>
    <n v="0"/>
    <n v="0"/>
    <n v="0"/>
    <n v="0"/>
    <m/>
    <s v="Toussaint"/>
    <s v="De juridictine et senhoria"/>
    <s v="Castri Devesseti"/>
    <s v="Devesset, in turre supra portam"/>
    <s v="Girandus Girandi de Pulinaco"/>
    <s v="Petro de Barias"/>
    <s v="Guillermo filio Johannis de Crosto"/>
    <m/>
    <m/>
    <m/>
    <s v="In quadam compositione olim facta inter dominum aniciensis episcopum et domum Devesseti"/>
  </r>
  <r>
    <n v="883"/>
    <m/>
    <s v="Johannes"/>
    <s v="Sanhas"/>
    <x v="56"/>
    <s v="Habite Chantilhac"/>
    <s v="al' Cardini de Chantilhac"/>
    <m/>
    <s v="H"/>
    <n v="1343"/>
    <s v="Décembre"/>
    <n v="1"/>
    <s v="Raynaud de Fay"/>
    <m/>
    <x v="0"/>
    <m/>
    <m/>
    <m/>
    <m/>
    <m/>
    <m/>
    <m/>
    <x v="0"/>
    <x v="0"/>
    <x v="2"/>
    <x v="0"/>
    <x v="0"/>
    <x v="0"/>
    <x v="0"/>
    <x v="1"/>
    <x v="0"/>
    <x v="0"/>
    <x v="0"/>
    <s v="Non"/>
    <x v="0"/>
    <x v="0"/>
    <x v="2"/>
    <x v="0"/>
    <x v="0"/>
    <x v="0"/>
    <x v="0"/>
    <x v="0"/>
    <x v="0"/>
    <x v="0"/>
    <x v="0"/>
    <x v="0"/>
    <x v="0"/>
    <x v="0"/>
    <x v="0"/>
    <x v="0"/>
    <x v="0"/>
    <x v="0"/>
    <x v="0"/>
    <x v="0"/>
    <x v="0"/>
    <x v="0"/>
    <x v="0"/>
    <x v="0"/>
    <x v="0"/>
    <x v="0"/>
    <x v="0"/>
    <x v="0"/>
    <x v="0"/>
    <x v="0"/>
    <m/>
    <m/>
    <s v="Terra de Podio Brenent"/>
    <m/>
    <s v="Fay"/>
    <n v="0"/>
    <n v="0"/>
    <n v="0"/>
    <n v="0"/>
    <n v="0"/>
    <n v="0"/>
    <n v="0"/>
    <n v="0"/>
    <n v="0"/>
    <n v="0"/>
    <n v="0"/>
    <n v="0"/>
    <n v="0"/>
    <n v="1"/>
    <n v="0"/>
    <n v="0"/>
    <n v="0"/>
    <n v="0"/>
    <n v="0"/>
    <n v="0"/>
    <n v="0"/>
    <n v="0"/>
    <n v="0"/>
    <n v="0"/>
    <m/>
    <n v="0"/>
    <n v="0"/>
    <n v="0"/>
    <n v="0"/>
    <n v="0"/>
    <m/>
    <s v="Toussaint"/>
    <m/>
    <m/>
    <s v="Saint-Agrève, dans la maison de Granerui de Saint-Agrève"/>
    <s v="Girandus Girandi de Pulinaco"/>
    <s v="Fratre Johanne Meruli"/>
    <s v="Guillermo La Famia"/>
    <s v="Guigore de Pome de Sancti Agreppavii"/>
    <m/>
    <m/>
    <m/>
  </r>
  <r>
    <n v="311"/>
    <m/>
    <s v="Jacobus"/>
    <s v="Dens Pontetz"/>
    <x v="57"/>
    <m/>
    <m/>
    <m/>
    <s v="H"/>
    <n v="1343"/>
    <s v="Avril"/>
    <n v="2"/>
    <s v="Raynaud de Fay"/>
    <s v="Homo-licgius, justitabilis et expletabilis"/>
    <x v="2"/>
    <s v="Non"/>
    <s v="Oui"/>
    <s v="Oui"/>
    <s v="Oui"/>
    <s v="Non"/>
    <s v="Avec bœufs et animaux"/>
    <s v="Contractus emphiteotitarii"/>
    <x v="2"/>
    <x v="2"/>
    <x v="2"/>
    <x v="1"/>
    <x v="3"/>
    <x v="1"/>
    <x v="1"/>
    <x v="1"/>
    <x v="0"/>
    <x v="0"/>
    <x v="0"/>
    <s v="Non"/>
    <x v="3"/>
    <x v="2"/>
    <x v="0"/>
    <x v="0"/>
    <x v="0"/>
    <x v="0"/>
    <x v="0"/>
    <x v="0"/>
    <x v="0"/>
    <x v="0"/>
    <x v="0"/>
    <x v="0"/>
    <x v="0"/>
    <x v="0"/>
    <x v="0"/>
    <x v="0"/>
    <x v="0"/>
    <x v="0"/>
    <x v="0"/>
    <x v="0"/>
    <x v="0"/>
    <x v="0"/>
    <x v="0"/>
    <x v="0"/>
    <x v="0"/>
    <x v="0"/>
    <x v="0"/>
    <x v="0"/>
    <x v="0"/>
    <x v="1"/>
    <m/>
    <s v="Prati"/>
    <s v="Dens Pontetz"/>
    <m/>
    <s v="Tence"/>
    <n v="0.33333333333333331"/>
    <n v="0"/>
    <n v="0"/>
    <n v="0"/>
    <n v="0"/>
    <n v="0"/>
    <n v="0"/>
    <n v="0"/>
    <n v="1"/>
    <n v="0"/>
    <n v="0"/>
    <n v="0"/>
    <n v="0"/>
    <n v="0.33333333333333331"/>
    <n v="0"/>
    <n v="1"/>
    <n v="0"/>
    <n v="0"/>
    <n v="0"/>
    <n v="0"/>
    <n v="0"/>
    <n v="0"/>
    <n v="0"/>
    <n v="0.5"/>
    <s v="Possessions forment 1/3 Tenement Dens Potetz + nemus + bayliagio + calma + assensa"/>
    <n v="1.9166666666666667"/>
    <n v="1"/>
    <n v="0"/>
    <n v="1.3333333333333335"/>
    <n v="0"/>
    <s v="Censu et talha"/>
    <s v="Toussaint"/>
    <s v="Merum et mixtum imperium "/>
    <s v="Mandemento et infra mandamentum juridictione loci et castri de Chalmariais"/>
    <s v="Devesset, in turre supra portam"/>
    <s v="Girandus Girandi de Pulinaco"/>
    <s v="Petro Anibayserii clerico"/>
    <s v="Matheo Morelli de Ruppe Paula"/>
    <m/>
    <m/>
    <m/>
    <m/>
  </r>
  <r>
    <n v="321"/>
    <m/>
    <s v="Guigona"/>
    <s v="Dens Pontetz"/>
    <x v="57"/>
    <m/>
    <m/>
    <m/>
    <s v="F"/>
    <n v="1343"/>
    <s v="Avril"/>
    <n v="2"/>
    <s v="Raynaud de Fay"/>
    <s v="Mulier-licgia justitabilis"/>
    <x v="1"/>
    <s v="Non"/>
    <s v="Oui"/>
    <s v="Oui"/>
    <s v="Oui"/>
    <s v="Non"/>
    <s v="Avec bœufs et animaux"/>
    <s v="Contractus emphiteotitarii"/>
    <x v="2"/>
    <x v="2"/>
    <x v="2"/>
    <x v="1"/>
    <x v="3"/>
    <x v="1"/>
    <x v="1"/>
    <x v="1"/>
    <x v="0"/>
    <x v="1"/>
    <x v="0"/>
    <s v="Oui"/>
    <x v="0"/>
    <x v="2"/>
    <x v="0"/>
    <x v="0"/>
    <x v="0"/>
    <x v="0"/>
    <x v="0"/>
    <x v="0"/>
    <x v="0"/>
    <x v="0"/>
    <x v="0"/>
    <x v="0"/>
    <x v="0"/>
    <x v="0"/>
    <x v="0"/>
    <x v="0"/>
    <x v="0"/>
    <x v="0"/>
    <x v="0"/>
    <x v="0"/>
    <x v="0"/>
    <x v="0"/>
    <x v="0"/>
    <x v="0"/>
    <x v="0"/>
    <x v="0"/>
    <x v="0"/>
    <x v="0"/>
    <x v="0"/>
    <x v="0"/>
    <m/>
    <m/>
    <m/>
    <m/>
    <s v="Tence"/>
    <n v="0.5"/>
    <n v="0"/>
    <n v="0"/>
    <n v="0"/>
    <n v="0"/>
    <n v="1"/>
    <n v="0"/>
    <n v="0"/>
    <n v="0"/>
    <n v="0"/>
    <n v="0"/>
    <n v="0"/>
    <n v="1"/>
    <n v="0.5"/>
    <n v="0"/>
    <n v="0"/>
    <n v="0"/>
    <n v="0"/>
    <n v="0"/>
    <n v="0"/>
    <n v="0"/>
    <n v="0"/>
    <n v="0"/>
    <n v="0"/>
    <s v="Possession forment 1/2 loci et teritorii Dens Pontetz + bayliagio + prata + calma + assensa"/>
    <n v="3.916666666666667"/>
    <n v="0"/>
    <n v="0"/>
    <n v="3.75"/>
    <n v="0"/>
    <s v="Censu et talha"/>
    <s v="Toussaint"/>
    <s v="De juridictione omnimoda"/>
    <s v="Mandemento et infra mandamentum castri de Chalmariais"/>
    <s v="Devesset, in turre supra portam"/>
    <s v="Girandus Girandi de Pulinaco"/>
    <s v="Petro Anibayserii clerico"/>
    <s v="Matheo Morelli de Ruppe Paula"/>
    <m/>
    <m/>
    <m/>
    <m/>
  </r>
  <r>
    <n v="1862"/>
    <m/>
    <s v="Bartholomeus"/>
    <s v="Mola"/>
    <x v="58"/>
    <s v="Dit de Sancto Agrippano; Habitator de Raschassac"/>
    <m/>
    <s v="Nomine Petronille filie Gregorii Blachonis de Raschassac condam eius uxoris et Martini filii Gregorii lachonis eius conhac' et quod ipse tenetur ver' a chareis ut alii homies de Raschassac"/>
    <s v="H"/>
    <n v="1344"/>
    <s v="Juin"/>
    <n v="19"/>
    <s v="Raynaud de Fay"/>
    <s v="Homo-licgius"/>
    <x v="0"/>
    <m/>
    <m/>
    <m/>
    <m/>
    <m/>
    <m/>
    <m/>
    <x v="3"/>
    <x v="2"/>
    <x v="2"/>
    <x v="0"/>
    <x v="0"/>
    <x v="0"/>
    <x v="1"/>
    <x v="4"/>
    <x v="0"/>
    <x v="0"/>
    <x v="0"/>
    <s v="Non"/>
    <x v="0"/>
    <x v="0"/>
    <x v="3"/>
    <x v="0"/>
    <x v="0"/>
    <x v="0"/>
    <x v="0"/>
    <x v="0"/>
    <x v="0"/>
    <x v="0"/>
    <x v="0"/>
    <x v="0"/>
    <x v="0"/>
    <x v="0"/>
    <x v="0"/>
    <x v="0"/>
    <x v="0"/>
    <x v="0"/>
    <x v="0"/>
    <x v="0"/>
    <x v="0"/>
    <x v="0"/>
    <x v="0"/>
    <x v="0"/>
    <x v="0"/>
    <x v="0"/>
    <x v="0"/>
    <x v="0"/>
    <x v="0"/>
    <x v="1"/>
    <s v="Scellé à Lyon le 16 mars 1758 Rem trocosols"/>
    <s v="Molendinum + prata, pasturalia et terras"/>
    <s v="Loco et territorio de Raschassac"/>
    <m/>
    <s v="Devesset"/>
    <n v="0"/>
    <n v="0"/>
    <n v="0"/>
    <n v="0"/>
    <n v="0"/>
    <n v="0"/>
    <n v="9"/>
    <n v="6.5"/>
    <n v="0"/>
    <n v="0"/>
    <n v="0"/>
    <n v="0"/>
    <n v="0"/>
    <n v="5"/>
    <n v="2"/>
    <n v="0"/>
    <n v="0"/>
    <n v="0"/>
    <n v="0"/>
    <n v="0"/>
    <n v="0"/>
    <n v="0"/>
    <n v="0"/>
    <n v="0"/>
    <s v="Prata, pasturalia et terras"/>
    <n v="8"/>
    <n v="0"/>
    <n v="0"/>
    <n v="0"/>
    <n v="0"/>
    <m/>
    <s v="Toussaint"/>
    <m/>
    <m/>
    <s v="Devesset, in camera fratris Johannis Meruli"/>
    <s v="Girandus Girandi de Pulinaco"/>
    <s v="Fratre Johannis Meruli"/>
    <s v="Andree de Sirgas"/>
    <s v="Guigone Amly[-]"/>
    <m/>
    <m/>
    <m/>
  </r>
  <r>
    <n v="1382"/>
    <m/>
    <s v="Armandus"/>
    <s v="De la Chalin"/>
    <x v="59"/>
    <m/>
    <m/>
    <s v="Nomine Benssor Bocharde eius uxoris filis condam Vitalis Bochardi"/>
    <s v="H"/>
    <n v="1342"/>
    <s v="Juillet"/>
    <n v="15"/>
    <s v="Raynaud de Fay"/>
    <s v="Homo-licgius et justitiabilis"/>
    <x v="0"/>
    <s v="Non"/>
    <s v="Oui"/>
    <s v="Oui"/>
    <s v="Oui"/>
    <s v="Non"/>
    <s v="Avec bœufs et animaux"/>
    <m/>
    <x v="0"/>
    <x v="0"/>
    <x v="2"/>
    <x v="0"/>
    <x v="3"/>
    <x v="0"/>
    <x v="0"/>
    <x v="0"/>
    <x v="0"/>
    <x v="0"/>
    <x v="0"/>
    <s v="Non"/>
    <x v="0"/>
    <x v="0"/>
    <x v="0"/>
    <x v="0"/>
    <x v="0"/>
    <x v="0"/>
    <x v="0"/>
    <x v="0"/>
    <x v="0"/>
    <x v="0"/>
    <x v="0"/>
    <x v="0"/>
    <x v="0"/>
    <x v="0"/>
    <x v="0"/>
    <x v="0"/>
    <x v="0"/>
    <x v="0"/>
    <x v="0"/>
    <x v="0"/>
    <x v="0"/>
    <x v="0"/>
    <x v="0"/>
    <x v="0"/>
    <x v="0"/>
    <x v="0"/>
    <x v="0"/>
    <x v="0"/>
    <x v="0"/>
    <x v="0"/>
    <m/>
    <s v="Neus + terra + prata"/>
    <m/>
    <s v="Femme"/>
    <s v="Devesset"/>
    <n v="0"/>
    <n v="0"/>
    <n v="0"/>
    <n v="0"/>
    <n v="0"/>
    <n v="0"/>
    <n v="0.5"/>
    <n v="0"/>
    <n v="1"/>
    <n v="0"/>
    <n v="0"/>
    <n v="0"/>
    <n v="0"/>
    <n v="1"/>
    <n v="1"/>
    <n v="0"/>
    <n v="0"/>
    <n v="0"/>
    <n v="0"/>
    <n v="0"/>
    <n v="0"/>
    <n v="0"/>
    <n v="0"/>
    <n v="0"/>
    <m/>
    <n v="3.4166666666666665"/>
    <n v="0"/>
    <n v="0"/>
    <n v="0"/>
    <n v="0"/>
    <s v="Censu et talha"/>
    <s v="Toussaint"/>
    <s v="Mero et mixto imperio"/>
    <s v="De mandamentum et infra mandamentum et juridictionem omnimoda castri Devesseti"/>
    <s v="Devesset, in turre supra portam"/>
    <s v="Girandus Girandi de Pulinaco"/>
    <m/>
    <m/>
    <m/>
    <m/>
    <m/>
    <m/>
  </r>
  <r>
    <n v="1383"/>
    <m/>
    <s v="Symondus"/>
    <s v="Bruni de Sancto Agrippano"/>
    <x v="59"/>
    <m/>
    <m/>
    <s v="Nomine Symundi eius filii et aliorum liberorum ipsius Symundi + Vitalis Bochardi"/>
    <s v="H"/>
    <n v="1342"/>
    <s v="Juillet"/>
    <n v="15"/>
    <s v="Raynaud de Fay"/>
    <s v="Homo-licgius, justitabilis et expletabilis"/>
    <x v="0"/>
    <s v="Non"/>
    <s v="Oui"/>
    <s v="Oui"/>
    <s v="Oui"/>
    <s v="Oui"/>
    <s v="Avec bœufs et animaux"/>
    <m/>
    <x v="0"/>
    <x v="0"/>
    <x v="1"/>
    <x v="0"/>
    <x v="3"/>
    <x v="0"/>
    <x v="0"/>
    <x v="4"/>
    <x v="0"/>
    <x v="0"/>
    <x v="0"/>
    <s v="Non"/>
    <x v="0"/>
    <x v="0"/>
    <x v="0"/>
    <x v="0"/>
    <x v="0"/>
    <x v="0"/>
    <x v="0"/>
    <x v="0"/>
    <x v="0"/>
    <x v="0"/>
    <x v="0"/>
    <x v="0"/>
    <x v="3"/>
    <x v="0"/>
    <x v="0"/>
    <x v="0"/>
    <x v="0"/>
    <x v="0"/>
    <x v="0"/>
    <x v="0"/>
    <x v="0"/>
    <x v="0"/>
    <x v="0"/>
    <x v="0"/>
    <x v="0"/>
    <x v="0"/>
    <x v="0"/>
    <x v="0"/>
    <x v="0"/>
    <x v="0"/>
    <m/>
    <s v="Tenementum + prato + terris + nemus"/>
    <m/>
    <s v="Enfants"/>
    <s v="Devesset"/>
    <n v="0"/>
    <n v="0"/>
    <n v="0"/>
    <n v="0"/>
    <n v="0"/>
    <n v="0"/>
    <n v="0.5"/>
    <n v="0"/>
    <n v="1"/>
    <n v="0"/>
    <n v="0"/>
    <n v="0"/>
    <n v="0"/>
    <n v="1"/>
    <n v="0"/>
    <n v="1"/>
    <n v="0"/>
    <n v="0"/>
    <n v="0"/>
    <n v="0"/>
    <n v="0"/>
    <n v="0"/>
    <n v="0"/>
    <n v="0"/>
    <s v="Terris"/>
    <n v="4.4166666666666661"/>
    <n v="0"/>
    <n v="0"/>
    <n v="0"/>
    <n v="0"/>
    <s v="Censu et talha"/>
    <s v="Toussaint"/>
    <s v="Mero et mixto imperio"/>
    <s v="De juridictione omnimoda et de mandamento domus Devesseti"/>
    <s v="Devesset, in turre supra portam"/>
    <s v="Girandus Girandi de Pulinaco"/>
    <s v="Andree de La Vileta"/>
    <s v="G. Guadelli"/>
    <s v="Petro filio Bernardo magistri de Chanieto"/>
    <m/>
    <m/>
    <m/>
  </r>
  <r>
    <n v="1401"/>
    <s v="Manque le début"/>
    <s v="Guilhermus + Jean et Girandus + Michael et Blancha + Armandus + Durandus et Vitalis + Johanneta + Guillermus + Johannes + Stephanus"/>
    <s v="De la Rocha + De Rilhac + Maysonitz + De Ruppe + Verhilati + Bartholomei de Ruppe + de Crorum de Ruppe + Roerii + Raspaut"/>
    <x v="59"/>
    <m/>
    <s v="Jean et Girandus de Rilhac sunt fratres + Armandus de Ruppe filius Petri de Ruppe + Johanetta fillia Guillermi de Ruppe"/>
    <s v="Johannes Roerii nomine Peyruchonis Roerii et Bartholomei Roerii eius fratrum, Johaneta uxor Peyruchonis Roerii et Petris Duneria et Laurenti Duneria eius fratrum"/>
    <s v="G"/>
    <n v="1342"/>
    <s v="?"/>
    <s v="?"/>
    <s v="Raynaud de Fay"/>
    <m/>
    <x v="0"/>
    <m/>
    <m/>
    <m/>
    <m/>
    <m/>
    <m/>
    <m/>
    <x v="0"/>
    <x v="0"/>
    <x v="0"/>
    <x v="0"/>
    <x v="4"/>
    <x v="0"/>
    <x v="0"/>
    <x v="1"/>
    <x v="0"/>
    <x v="0"/>
    <x v="0"/>
    <s v="Non"/>
    <x v="0"/>
    <x v="0"/>
    <x v="0"/>
    <x v="0"/>
    <x v="0"/>
    <x v="2"/>
    <x v="0"/>
    <x v="0"/>
    <x v="0"/>
    <x v="0"/>
    <x v="0"/>
    <x v="0"/>
    <x v="0"/>
    <x v="0"/>
    <x v="0"/>
    <x v="0"/>
    <x v="0"/>
    <x v="0"/>
    <x v="3"/>
    <x v="0"/>
    <x v="0"/>
    <x v="0"/>
    <x v="0"/>
    <x v="0"/>
    <x v="0"/>
    <x v="0"/>
    <x v="0"/>
    <x v="0"/>
    <x v="0"/>
    <x v="0"/>
    <s v="Apparemment cens qeu pour Jean de Rilhac"/>
    <s v="2 nemus + partem patilius + passetam"/>
    <m/>
    <s v="Frère + femme + beau-frère"/>
    <s v="Devesset"/>
    <n v="1"/>
    <n v="0"/>
    <n v="0"/>
    <n v="0"/>
    <n v="0"/>
    <n v="0"/>
    <n v="0"/>
    <n v="0"/>
    <n v="1"/>
    <n v="0"/>
    <n v="0"/>
    <n v="0"/>
    <n v="0"/>
    <n v="3"/>
    <n v="0"/>
    <n v="0"/>
    <n v="0"/>
    <n v="0"/>
    <n v="0"/>
    <n v="0"/>
    <n v="0"/>
    <n v="0"/>
    <n v="0"/>
    <n v="0"/>
    <m/>
    <n v="2.3333333333333335"/>
    <n v="0"/>
    <n v="0"/>
    <n v="0"/>
    <n v="0"/>
    <s v="Censu"/>
    <s v="Toussaint"/>
    <s v="Mero et mixto imperio"/>
    <s v="De mandamento et juridictione domus Devesseti"/>
    <s v="Devesset, in camera fratris Johannis Meruli"/>
    <s v="Girandus Girandi de Pulinaco"/>
    <s v="Fratre Johanne Meruli"/>
    <s v="Bernardo de Ruppe clerico"/>
    <m/>
    <m/>
    <m/>
    <m/>
  </r>
  <r>
    <n v="1461"/>
    <m/>
    <s v="Johannis et Girardus"/>
    <s v="De Rilhac"/>
    <x v="59"/>
    <m/>
    <s v="Fratres"/>
    <s v="Johannes nomine Petronille Clerzonessa eius uxoris"/>
    <s v="G"/>
    <n v="1342"/>
    <s v="Février"/>
    <s v="?"/>
    <s v="Raynaud de Fay"/>
    <s v="Homo-licgius, justitabilis et expletabilis"/>
    <x v="0"/>
    <s v="Non"/>
    <s v="Oui"/>
    <s v="Oui"/>
    <s v="Oui"/>
    <s v="Non"/>
    <m/>
    <m/>
    <x v="2"/>
    <x v="2"/>
    <x v="2"/>
    <x v="0"/>
    <x v="1"/>
    <x v="1"/>
    <x v="1"/>
    <x v="1"/>
    <x v="0"/>
    <x v="0"/>
    <x v="0"/>
    <s v="Oui"/>
    <x v="0"/>
    <x v="0"/>
    <x v="0"/>
    <x v="2"/>
    <x v="2"/>
    <x v="0"/>
    <x v="0"/>
    <x v="2"/>
    <x v="0"/>
    <x v="0"/>
    <x v="0"/>
    <x v="2"/>
    <x v="0"/>
    <x v="0"/>
    <x v="0"/>
    <x v="0"/>
    <x v="0"/>
    <x v="0"/>
    <x v="0"/>
    <x v="0"/>
    <x v="0"/>
    <x v="0"/>
    <x v="0"/>
    <x v="0"/>
    <x v="0"/>
    <x v="0"/>
    <x v="0"/>
    <x v="0"/>
    <x v="0"/>
    <x v="1"/>
    <m/>
    <s v="Domos + tenementum + ouchiam + gairaitum + ortum + 3 prati + pasturale + 1 petiam + nemus + sanha"/>
    <s v="Apud Rilhac et in eius territorio -&gt; tenementum"/>
    <s v="Femme"/>
    <s v="Devesset"/>
    <n v="1"/>
    <n v="0"/>
    <n v="0"/>
    <n v="0"/>
    <n v="0"/>
    <n v="0"/>
    <n v="12.5"/>
    <n v="0"/>
    <n v="0"/>
    <n v="0"/>
    <n v="0"/>
    <n v="0"/>
    <n v="0"/>
    <n v="6.5"/>
    <n v="0"/>
    <n v="0"/>
    <n v="0"/>
    <n v="0"/>
    <n v="0"/>
    <n v="0"/>
    <n v="0"/>
    <n v="0"/>
    <n v="0"/>
    <n v="0"/>
    <s v="Possessiones eius uxoris"/>
    <n v="14.75"/>
    <n v="1"/>
    <n v="0"/>
    <n v="0"/>
    <n v="0"/>
    <s v="Censu et talha"/>
    <m/>
    <s v="Mero et mixto imperio"/>
    <s v="De mandamento et infra mandamento juridictione domus Devesseti"/>
    <m/>
    <m/>
    <m/>
    <m/>
    <m/>
    <m/>
    <m/>
    <m/>
  </r>
  <r>
    <n v="1462"/>
    <m/>
    <s v="Michael"/>
    <s v="Maisonitz"/>
    <x v="59"/>
    <m/>
    <m/>
    <s v="Nomine Stephani eius fratris"/>
    <s v="H"/>
    <n v="1342"/>
    <s v="Février"/>
    <s v="?"/>
    <s v="Raynaud de Fay"/>
    <s v="Homo-licgius, justitabilis et expletabilis"/>
    <x v="0"/>
    <s v="Non"/>
    <s v="Oui"/>
    <s v="Oui"/>
    <s v="Oui"/>
    <s v="Non"/>
    <s v="Avec bœufs et animaux"/>
    <m/>
    <x v="2"/>
    <x v="2"/>
    <x v="2"/>
    <x v="1"/>
    <x v="1"/>
    <x v="0"/>
    <x v="1"/>
    <x v="1"/>
    <x v="0"/>
    <x v="0"/>
    <x v="0"/>
    <s v="Oui"/>
    <x v="0"/>
    <x v="0"/>
    <x v="0"/>
    <x v="0"/>
    <x v="0"/>
    <x v="0"/>
    <x v="0"/>
    <x v="0"/>
    <x v="0"/>
    <x v="0"/>
    <x v="0"/>
    <x v="0"/>
    <x v="0"/>
    <x v="0"/>
    <x v="0"/>
    <x v="0"/>
    <x v="0"/>
    <x v="0"/>
    <x v="0"/>
    <x v="0"/>
    <x v="0"/>
    <x v="0"/>
    <x v="0"/>
    <x v="0"/>
    <x v="0"/>
    <x v="0"/>
    <x v="0"/>
    <x v="0"/>
    <x v="0"/>
    <x v="1"/>
    <m/>
    <s v="Domos"/>
    <s v="Tenemento seu loco de Rilhac"/>
    <s v="Frère"/>
    <s v="Devesset"/>
    <n v="0.5"/>
    <n v="0"/>
    <n v="0"/>
    <n v="0"/>
    <n v="0"/>
    <n v="0"/>
    <n v="3"/>
    <n v="1"/>
    <n v="0"/>
    <n v="0"/>
    <n v="0"/>
    <n v="0"/>
    <n v="0"/>
    <n v="1.5"/>
    <n v="0"/>
    <n v="0"/>
    <n v="0"/>
    <n v="0"/>
    <n v="0"/>
    <n v="0"/>
    <n v="0"/>
    <n v="0"/>
    <n v="0"/>
    <n v="0"/>
    <m/>
    <n v="3.5833333333333335"/>
    <n v="1"/>
    <n v="0"/>
    <n v="0"/>
    <n v="0"/>
    <s v="Censu et talha"/>
    <m/>
    <m/>
    <s v="In mandamentum et infra mandamentum juridictione domus Devesseti"/>
    <m/>
    <m/>
    <m/>
    <m/>
    <m/>
    <m/>
    <m/>
    <m/>
  </r>
  <r>
    <n v="1463"/>
    <s v="Page dure à lire + finit au 1481"/>
    <s v="Blanchia"/>
    <s v="Maisonessa"/>
    <x v="59"/>
    <m/>
    <m/>
    <s v="Nomine Catarine eius sororis"/>
    <s v="F"/>
    <n v="1342"/>
    <s v="Février"/>
    <s v="?"/>
    <s v="Raynaud de Fay"/>
    <s v="Mulier-licgia, justitabilis et expletabilis"/>
    <x v="0"/>
    <s v="Non"/>
    <s v="Oui"/>
    <s v="Oui"/>
    <s v="Oui"/>
    <s v="Non"/>
    <m/>
    <m/>
    <x v="2"/>
    <x v="2"/>
    <x v="2"/>
    <x v="0"/>
    <x v="1"/>
    <x v="0"/>
    <x v="1"/>
    <x v="4"/>
    <x v="0"/>
    <x v="0"/>
    <x v="0"/>
    <s v="Oui"/>
    <x v="0"/>
    <x v="0"/>
    <x v="0"/>
    <x v="2"/>
    <x v="0"/>
    <x v="0"/>
    <x v="0"/>
    <x v="0"/>
    <x v="0"/>
    <x v="0"/>
    <x v="0"/>
    <x v="0"/>
    <x v="0"/>
    <x v="0"/>
    <x v="0"/>
    <x v="0"/>
    <x v="0"/>
    <x v="0"/>
    <x v="0"/>
    <x v="0"/>
    <x v="0"/>
    <x v="0"/>
    <x v="0"/>
    <x v="0"/>
    <x v="0"/>
    <x v="0"/>
    <x v="0"/>
    <x v="0"/>
    <x v="0"/>
    <x v="1"/>
    <m/>
    <s v="Domos"/>
    <s v="Territorio de Rilhac et de Ruppe"/>
    <s v="Sœur"/>
    <s v="Devesset"/>
    <n v="0.5"/>
    <n v="0"/>
    <n v="0"/>
    <n v="0"/>
    <n v="0"/>
    <n v="0"/>
    <n v="3"/>
    <n v="1"/>
    <n v="0"/>
    <n v="0"/>
    <n v="0"/>
    <n v="0"/>
    <n v="0"/>
    <n v="1.5"/>
    <n v="0"/>
    <n v="0"/>
    <n v="0"/>
    <n v="0"/>
    <n v="0"/>
    <n v="0"/>
    <n v="0"/>
    <n v="0"/>
    <n v="0"/>
    <n v="0"/>
    <m/>
    <n v="3.5833333333333335"/>
    <n v="1"/>
    <n v="0"/>
    <n v="0"/>
    <n v="0"/>
    <s v="Censu et talha"/>
    <m/>
    <s v="Mero et mixto imperio"/>
    <s v="De mandamento et in mandamentum et de juridictione castri Devesseti"/>
    <m/>
    <m/>
    <m/>
    <m/>
    <m/>
    <m/>
    <m/>
    <m/>
  </r>
  <r>
    <n v="1421"/>
    <m/>
    <s v="Durandus"/>
    <s v="De Croseto"/>
    <x v="60"/>
    <m/>
    <m/>
    <m/>
    <s v="H"/>
    <n v="1342"/>
    <s v="Février"/>
    <n v="12"/>
    <s v="Raynaud de Fay"/>
    <s v="Homo-licgius, justitabilis et expletabilis"/>
    <x v="0"/>
    <s v="Non"/>
    <s v="Oui"/>
    <s v="Oui"/>
    <s v="Oui"/>
    <s v="Non"/>
    <s v="Avec bœufs et animaux"/>
    <s v="Constractus emphiteotarii"/>
    <x v="3"/>
    <x v="4"/>
    <x v="2"/>
    <x v="0"/>
    <x v="0"/>
    <x v="0"/>
    <x v="1"/>
    <x v="1"/>
    <x v="0"/>
    <x v="0"/>
    <x v="0"/>
    <s v="Non"/>
    <x v="0"/>
    <x v="0"/>
    <x v="0"/>
    <x v="3"/>
    <x v="0"/>
    <x v="0"/>
    <x v="0"/>
    <x v="0"/>
    <x v="0"/>
    <x v="0"/>
    <x v="0"/>
    <x v="0"/>
    <x v="0"/>
    <x v="0"/>
    <x v="0"/>
    <x v="0"/>
    <x v="0"/>
    <x v="0"/>
    <x v="0"/>
    <x v="0"/>
    <x v="0"/>
    <x v="0"/>
    <x v="0"/>
    <x v="0"/>
    <x v="0"/>
    <x v="0"/>
    <x v="0"/>
    <x v="0"/>
    <x v="0"/>
    <x v="0"/>
    <m/>
    <s v="Domum + ortum + ouchiam + 2 prati + 2 partem pasturale + 1 partem prati + 1 patem pasturalium communum + pasturalibus"/>
    <m/>
    <m/>
    <s v="Devesset"/>
    <n v="1"/>
    <n v="0"/>
    <n v="0"/>
    <n v="0"/>
    <n v="0"/>
    <n v="0"/>
    <n v="0"/>
    <n v="0"/>
    <n v="0"/>
    <n v="0"/>
    <n v="0"/>
    <n v="0"/>
    <n v="0"/>
    <n v="1"/>
    <n v="2.5333333333333332"/>
    <n v="0"/>
    <n v="0"/>
    <n v="0"/>
    <n v="0"/>
    <n v="0"/>
    <n v="0"/>
    <n v="0"/>
    <n v="0"/>
    <n v="0"/>
    <s v="Domum + partem pasturale + partem pasturale et pratorum + duorum prati + pasturalibus + partem pasturalium communum"/>
    <n v="5.333333333333333"/>
    <n v="0"/>
    <n v="0"/>
    <n v="0"/>
    <n v="0.33333333333333331"/>
    <m/>
    <s v="Toussaint"/>
    <s v="Mero et mixto imperio"/>
    <s v="In mandamentum et de mandamento castri Devesseti"/>
    <s v="Devesset, in turre supra portam"/>
    <s v="Girandus Girandi de Pulinaco"/>
    <s v="Poncio Raynaudi de Ruppe Paula"/>
    <s v="Guillermo Bdalhi"/>
    <m/>
    <m/>
    <m/>
    <m/>
  </r>
  <r>
    <n v="1303"/>
    <m/>
    <s v="Johannes"/>
    <s v="Masoerii del Mei Plant"/>
    <x v="61"/>
    <m/>
    <m/>
    <m/>
    <s v="H"/>
    <n v="1343"/>
    <s v="Décembre"/>
    <n v="10"/>
    <s v="Raynaud de Fay"/>
    <s v="Promisit esse fidelis tenementarius domus Devesseti"/>
    <x v="0"/>
    <m/>
    <m/>
    <m/>
    <m/>
    <m/>
    <m/>
    <s v="Constractus emphiteotarii"/>
    <x v="0"/>
    <x v="0"/>
    <x v="0"/>
    <x v="0"/>
    <x v="0"/>
    <x v="0"/>
    <x v="0"/>
    <x v="5"/>
    <x v="0"/>
    <x v="0"/>
    <x v="0"/>
    <s v="Non"/>
    <x v="0"/>
    <x v="0"/>
    <x v="0"/>
    <x v="0"/>
    <x v="0"/>
    <x v="0"/>
    <x v="0"/>
    <x v="0"/>
    <x v="0"/>
    <x v="0"/>
    <x v="0"/>
    <x v="0"/>
    <x v="0"/>
    <x v="0"/>
    <x v="0"/>
    <x v="0"/>
    <x v="0"/>
    <x v="0"/>
    <x v="0"/>
    <x v="0"/>
    <x v="0"/>
    <x v="0"/>
    <x v="0"/>
    <x v="0"/>
    <x v="0"/>
    <x v="0"/>
    <x v="0"/>
    <x v="0"/>
    <x v="0"/>
    <x v="0"/>
    <m/>
    <s v="2 terre petiam"/>
    <m/>
    <m/>
    <s v="Rochebonne"/>
    <n v="0"/>
    <n v="0"/>
    <n v="0"/>
    <n v="0"/>
    <n v="0"/>
    <n v="0"/>
    <n v="0"/>
    <n v="0"/>
    <n v="0"/>
    <n v="0"/>
    <n v="1"/>
    <n v="0"/>
    <n v="0"/>
    <n v="0"/>
    <n v="0"/>
    <n v="0"/>
    <n v="0"/>
    <n v="0"/>
    <n v="0"/>
    <n v="0"/>
    <n v="0"/>
    <n v="0"/>
    <n v="0"/>
    <n v="0"/>
    <m/>
    <n v="0"/>
    <n v="0"/>
    <n v="0"/>
    <n v="0"/>
    <n v="0"/>
    <m/>
    <s v="Toussaint"/>
    <m/>
    <m/>
    <s v="Apud Avenas, in domo dicti Poncii"/>
    <s v="Girandus Girandi de Pulinaco"/>
    <s v="Fratre Johane Meruli"/>
    <s v="Petro d'Avenas"/>
    <s v="Poncio d'Avenas"/>
    <m/>
    <m/>
    <m/>
  </r>
  <r>
    <n v="1331"/>
    <s v="Non présent dans le répertoire"/>
    <s v="Vitalis"/>
    <s v="Verilha"/>
    <x v="62"/>
    <m/>
    <m/>
    <m/>
    <s v="H"/>
    <n v="1343"/>
    <s v="Décembre"/>
    <n v="12"/>
    <s v="Raynaud de Fay"/>
    <m/>
    <x v="0"/>
    <m/>
    <m/>
    <m/>
    <m/>
    <m/>
    <m/>
    <m/>
    <x v="3"/>
    <x v="0"/>
    <x v="0"/>
    <x v="0"/>
    <x v="0"/>
    <x v="0"/>
    <x v="0"/>
    <x v="1"/>
    <x v="0"/>
    <x v="0"/>
    <x v="0"/>
    <s v="Non"/>
    <x v="0"/>
    <x v="0"/>
    <x v="0"/>
    <x v="0"/>
    <x v="0"/>
    <x v="0"/>
    <x v="0"/>
    <x v="0"/>
    <x v="0"/>
    <x v="0"/>
    <x v="0"/>
    <x v="0"/>
    <x v="0"/>
    <x v="0"/>
    <x v="0"/>
    <x v="0"/>
    <x v="0"/>
    <x v="0"/>
    <x v="0"/>
    <x v="0"/>
    <x v="0"/>
    <x v="0"/>
    <x v="0"/>
    <x v="0"/>
    <x v="0"/>
    <x v="0"/>
    <x v="0"/>
    <x v="0"/>
    <x v="0"/>
    <x v="0"/>
    <m/>
    <m/>
    <m/>
    <m/>
    <m/>
    <n v="0.75"/>
    <n v="0"/>
    <n v="0"/>
    <n v="0"/>
    <n v="0"/>
    <n v="0"/>
    <n v="0"/>
    <n v="0"/>
    <n v="0"/>
    <n v="0"/>
    <n v="0"/>
    <n v="0"/>
    <n v="0"/>
    <n v="0"/>
    <n v="0"/>
    <n v="0"/>
    <n v="0"/>
    <n v="0"/>
    <n v="0"/>
    <n v="0"/>
    <n v="0"/>
    <n v="0"/>
    <n v="0"/>
    <n v="0"/>
    <m/>
    <n v="0"/>
    <n v="0"/>
    <n v="0"/>
    <n v="0"/>
    <n v="0"/>
    <m/>
    <m/>
    <s v="Mero et mixto imperio"/>
    <s v="De juridictione omnimoda et de mandamentum castri Devesseti"/>
    <s v="Devesset, in turre supra portam"/>
    <s v="Girandus Girandi de Pulinaco"/>
    <m/>
    <m/>
    <m/>
    <m/>
    <m/>
    <m/>
  </r>
  <r>
    <n v="1332"/>
    <m/>
    <s v="Petrus et Laurentius"/>
    <s v="Duneria"/>
    <x v="62"/>
    <m/>
    <s v="Fratres"/>
    <s v="Martine uxor Petri"/>
    <s v="G"/>
    <n v="1343"/>
    <s v="Décembre"/>
    <n v="12"/>
    <s v="Raynaud de Fay"/>
    <s v="Homo-licgius, justitabilis et expletabilis"/>
    <x v="0"/>
    <s v="Non"/>
    <s v="Oui"/>
    <s v="Oui"/>
    <s v="Oui"/>
    <s v="Non"/>
    <m/>
    <m/>
    <x v="3"/>
    <x v="1"/>
    <x v="2"/>
    <x v="0"/>
    <x v="1"/>
    <x v="0"/>
    <x v="1"/>
    <x v="4"/>
    <x v="0"/>
    <x v="0"/>
    <x v="0"/>
    <s v="Non"/>
    <x v="0"/>
    <x v="0"/>
    <x v="0"/>
    <x v="3"/>
    <x v="2"/>
    <x v="0"/>
    <x v="0"/>
    <x v="13"/>
    <x v="0"/>
    <x v="0"/>
    <x v="0"/>
    <x v="0"/>
    <x v="0"/>
    <x v="0"/>
    <x v="0"/>
    <x v="0"/>
    <x v="0"/>
    <x v="0"/>
    <x v="0"/>
    <x v="0"/>
    <x v="0"/>
    <x v="0"/>
    <x v="0"/>
    <x v="0"/>
    <x v="0"/>
    <x v="0"/>
    <x v="0"/>
    <x v="0"/>
    <x v="0"/>
    <x v="0"/>
    <m/>
    <s v="12 petiae + 6 prati + 2 orti + 1 domum + 1 ouchia + 1 garaitum + 1 nemus + possessiones Martine uxor Petri"/>
    <s v="Territorio de Ruppe"/>
    <s v="Femme"/>
    <s v="Mesure non précisée"/>
    <n v="0.5"/>
    <n v="0"/>
    <n v="0"/>
    <n v="0"/>
    <n v="0"/>
    <n v="0"/>
    <n v="5"/>
    <n v="1"/>
    <n v="0"/>
    <n v="0.5"/>
    <n v="0"/>
    <n v="0"/>
    <n v="0"/>
    <n v="1"/>
    <n v="0.5"/>
    <n v="1"/>
    <n v="0"/>
    <n v="0"/>
    <n v="0"/>
    <n v="0"/>
    <n v="0"/>
    <n v="0"/>
    <n v="0"/>
    <n v="0"/>
    <s v="Pethegnes dicti loci + Censu de Pupart + possessiones Martine uxor Petri"/>
    <n v="8.1666666666666661"/>
    <n v="1"/>
    <n v="0"/>
    <n v="0.5"/>
    <n v="0"/>
    <s v="Censu et talha"/>
    <m/>
    <s v="Mero et mixto imperio"/>
    <s v="De mandamentum et juridictione domus Devesseti"/>
    <s v="Devesset, in turre supra portam"/>
    <s v="Girandus Girandi de Pulinaco"/>
    <m/>
    <m/>
    <m/>
    <m/>
    <m/>
    <m/>
  </r>
  <r>
    <n v="1333"/>
    <m/>
    <s v="Stephanis"/>
    <s v="Raspant"/>
    <x v="62"/>
    <m/>
    <m/>
    <m/>
    <s v="H"/>
    <n v="1343"/>
    <s v="Décembre"/>
    <n v="12"/>
    <s v="Raynaud de Fay"/>
    <m/>
    <x v="0"/>
    <m/>
    <m/>
    <m/>
    <m/>
    <m/>
    <m/>
    <m/>
    <x v="0"/>
    <x v="0"/>
    <x v="0"/>
    <x v="0"/>
    <x v="5"/>
    <x v="0"/>
    <x v="0"/>
    <x v="7"/>
    <x v="0"/>
    <x v="0"/>
    <x v="0"/>
    <s v="Non"/>
    <x v="0"/>
    <x v="0"/>
    <x v="0"/>
    <x v="0"/>
    <x v="0"/>
    <x v="0"/>
    <x v="0"/>
    <x v="14"/>
    <x v="0"/>
    <x v="0"/>
    <x v="0"/>
    <x v="0"/>
    <x v="0"/>
    <x v="0"/>
    <x v="0"/>
    <x v="0"/>
    <x v="0"/>
    <x v="0"/>
    <x v="0"/>
    <x v="0"/>
    <x v="0"/>
    <x v="0"/>
    <x v="0"/>
    <x v="0"/>
    <x v="0"/>
    <x v="0"/>
    <x v="0"/>
    <x v="0"/>
    <x v="0"/>
    <x v="0"/>
    <s v="Ut tenementi pro se et nomine quo supra"/>
    <s v="Medietatem petiam + medietatem terris + medietatem nemoris"/>
    <m/>
    <m/>
    <m/>
    <m/>
    <m/>
    <m/>
    <m/>
    <m/>
    <m/>
    <m/>
    <m/>
    <m/>
    <m/>
    <m/>
    <m/>
    <m/>
    <m/>
    <m/>
    <m/>
    <m/>
    <m/>
    <m/>
    <m/>
    <m/>
    <m/>
    <m/>
    <m/>
    <m/>
    <m/>
    <m/>
    <m/>
    <m/>
    <m/>
    <m/>
    <m/>
    <m/>
    <m/>
    <s v="Devesset, in turre supra portam"/>
    <s v="Girandus Girandi de Pulinaco"/>
    <m/>
    <m/>
    <m/>
    <m/>
    <m/>
    <m/>
  </r>
  <r>
    <n v="1341"/>
    <m/>
    <s v="Guillermus"/>
    <s v="De Crozo"/>
    <x v="62"/>
    <m/>
    <m/>
    <m/>
    <s v="H"/>
    <n v="1343"/>
    <s v="Décembre"/>
    <n v="12"/>
    <s v="Raynaud de Fay"/>
    <s v="Homo-licgius, justitabilis et expletabilis"/>
    <x v="0"/>
    <s v="Non"/>
    <s v="Oui"/>
    <s v="Oui"/>
    <s v="Oui"/>
    <s v="Non"/>
    <m/>
    <m/>
    <x v="3"/>
    <x v="0"/>
    <x v="0"/>
    <x v="0"/>
    <x v="3"/>
    <x v="0"/>
    <x v="0"/>
    <x v="1"/>
    <x v="0"/>
    <x v="0"/>
    <x v="0"/>
    <s v="Non"/>
    <x v="0"/>
    <x v="0"/>
    <x v="0"/>
    <x v="0"/>
    <x v="0"/>
    <x v="2"/>
    <x v="0"/>
    <x v="12"/>
    <x v="0"/>
    <x v="0"/>
    <x v="0"/>
    <x v="0"/>
    <x v="0"/>
    <x v="0"/>
    <x v="0"/>
    <x v="0"/>
    <x v="0"/>
    <x v="0"/>
    <x v="0"/>
    <x v="0"/>
    <x v="0"/>
    <x v="0"/>
    <x v="0"/>
    <x v="0"/>
    <x v="0"/>
    <x v="0"/>
    <x v="0"/>
    <x v="0"/>
    <x v="0"/>
    <x v="0"/>
    <m/>
    <s v="6 petiam + 1 nemus + 1 domum + 1 partem patile commune"/>
    <s v="Apud la Rocha et in eius territorio"/>
    <m/>
    <s v="Mesure non précisée"/>
    <n v="1"/>
    <n v="0"/>
    <n v="0"/>
    <n v="0"/>
    <n v="0"/>
    <n v="0"/>
    <n v="0"/>
    <n v="1.3333333333333333"/>
    <n v="0"/>
    <n v="0"/>
    <n v="0"/>
    <n v="0"/>
    <n v="0"/>
    <n v="1"/>
    <n v="0"/>
    <n v="0"/>
    <n v="0"/>
    <n v="0"/>
    <n v="0"/>
    <n v="0"/>
    <n v="0"/>
    <n v="0"/>
    <n v="0"/>
    <n v="0"/>
    <s v="Pupardo"/>
    <n v="3.6666666666666665"/>
    <n v="0"/>
    <n v="0"/>
    <n v="0"/>
    <n v="0"/>
    <s v="Censu et talha"/>
    <m/>
    <s v="Mero et mixto imperio"/>
    <s v="De mandamentum et infra mandamentum et de juridictione domus Devesseti"/>
    <s v="Devesset, in turre supra portam"/>
    <s v="Girandus Girandi de Pulinaco"/>
    <m/>
    <m/>
    <m/>
    <m/>
    <m/>
    <m/>
  </r>
  <r>
    <n v="1342"/>
    <s v="Page dure à lire"/>
    <s v="Johannes"/>
    <s v="Roerii"/>
    <x v="62"/>
    <m/>
    <m/>
    <s v="Nomine Peyruchonis Roerii et Bartholomei Roerii de Ruppe eius fratrum + Caterine eius uxor + Jacmeta Uxor Peyruchonis de Roerii de Ruppe"/>
    <s v="H"/>
    <n v="1343"/>
    <s v="Décembre"/>
    <n v="12"/>
    <s v="Raynaud de Fay"/>
    <s v="Homines-licgius et mulieres-licgia, justitabiles et expletabiles"/>
    <x v="0"/>
    <s v="Non"/>
    <s v="Oui"/>
    <s v="Oui"/>
    <s v="Oui"/>
    <s v="Non"/>
    <s v="Avec bœufs et animaux"/>
    <m/>
    <x v="1"/>
    <x v="3"/>
    <x v="7"/>
    <x v="0"/>
    <x v="4"/>
    <x v="0"/>
    <x v="1"/>
    <x v="1"/>
    <x v="0"/>
    <x v="0"/>
    <x v="0"/>
    <s v="Non"/>
    <x v="0"/>
    <x v="0"/>
    <x v="0"/>
    <x v="0"/>
    <x v="0"/>
    <x v="2"/>
    <x v="0"/>
    <x v="4"/>
    <x v="0"/>
    <x v="0"/>
    <x v="0"/>
    <x v="0"/>
    <x v="0"/>
    <x v="0"/>
    <x v="0"/>
    <x v="0"/>
    <x v="0"/>
    <x v="0"/>
    <x v="0"/>
    <x v="0"/>
    <x v="0"/>
    <x v="0"/>
    <x v="0"/>
    <x v="0"/>
    <x v="0"/>
    <x v="0"/>
    <x v="0"/>
    <x v="0"/>
    <x v="0"/>
    <x v="0"/>
    <m/>
    <s v="2 Domum + 3 ortum + 2 partem pasturalium commune + 5 prati + 8 petiae + 2 nemus"/>
    <m/>
    <s v="Frères + femmes"/>
    <s v="Devesset"/>
    <n v="1"/>
    <n v="0"/>
    <n v="0"/>
    <n v="0"/>
    <n v="0"/>
    <n v="0"/>
    <n v="1"/>
    <n v="0"/>
    <n v="0"/>
    <n v="1"/>
    <n v="0"/>
    <n v="0"/>
    <n v="0"/>
    <n v="3"/>
    <n v="1"/>
    <n v="0"/>
    <n v="0"/>
    <n v="0"/>
    <n v="0"/>
    <n v="0"/>
    <n v="0"/>
    <n v="0"/>
    <n v="0"/>
    <n v="0"/>
    <s v="1 Domum + 2 ortum + 1 partem pasturalium commune + 3 prati + pupardo"/>
    <n v="9.6666666666666679"/>
    <n v="1"/>
    <n v="0"/>
    <n v="1"/>
    <n v="0.16666666666666666"/>
    <s v="Censu et talha"/>
    <s v="Toussaint"/>
    <s v="Mero et mixto imperio"/>
    <s v="De juridictione omnimoda et de mandamentum domus Devesseti"/>
    <s v="Devesset, in turre supra portam"/>
    <s v="Girandus Girandi de Pulinaco"/>
    <s v="Petro de Ruppe"/>
    <s v="Al' Malpinha"/>
    <s v="Johanne Sabaterii de Chambone"/>
    <m/>
    <m/>
    <m/>
  </r>
  <r>
    <n v="1452"/>
    <s v="Page dure à lire"/>
    <s v="Petronilla"/>
    <s v="De la Rocha"/>
    <x v="62"/>
    <m/>
    <s v="Uxori Guillermonis de la Rocha"/>
    <s v="Nomine liberorum suorum"/>
    <s v="H"/>
    <n v="1342"/>
    <s v="Février"/>
    <s v="?"/>
    <s v="Raynaud de Fay"/>
    <s v="Mulier-licgia, justitabilis et expletabilis"/>
    <x v="0"/>
    <s v="Non"/>
    <s v="Oui"/>
    <s v="Oui"/>
    <s v="Oui"/>
    <s v="Non"/>
    <s v="Avec bœufs et animaux"/>
    <m/>
    <x v="3"/>
    <x v="1"/>
    <x v="6"/>
    <x v="0"/>
    <x v="1"/>
    <x v="0"/>
    <x v="1"/>
    <x v="1"/>
    <x v="0"/>
    <x v="0"/>
    <x v="0"/>
    <s v="Non"/>
    <x v="0"/>
    <x v="0"/>
    <x v="0"/>
    <x v="0"/>
    <x v="2"/>
    <x v="2"/>
    <x v="0"/>
    <x v="4"/>
    <x v="0"/>
    <x v="0"/>
    <x v="0"/>
    <x v="0"/>
    <x v="0"/>
    <x v="0"/>
    <x v="0"/>
    <x v="2"/>
    <x v="0"/>
    <x v="0"/>
    <x v="0"/>
    <x v="0"/>
    <x v="2"/>
    <x v="0"/>
    <x v="0"/>
    <x v="0"/>
    <x v="0"/>
    <x v="0"/>
    <x v="0"/>
    <x v="0"/>
    <x v="0"/>
    <x v="0"/>
    <m/>
    <s v="1 domus + 2 orti + 1 garaitum + 4 petiae + 4 prati + 11 partem petie + partem territorii communi + partem patille + partem dens meses + possessiones + seytorata vinee + pars vinee + ? + nemora + pasturalia"/>
    <s v="Loco et tenementum de Ruppe"/>
    <s v="Enfants"/>
    <s v="Devesset"/>
    <n v="0.5"/>
    <n v="0"/>
    <n v="0"/>
    <n v="0"/>
    <n v="0"/>
    <n v="0"/>
    <n v="6"/>
    <n v="0"/>
    <n v="0"/>
    <n v="0"/>
    <n v="0"/>
    <n v="0"/>
    <n v="0"/>
    <n v="3"/>
    <n v="3"/>
    <n v="0"/>
    <n v="0"/>
    <n v="0"/>
    <n v="0"/>
    <n v="0"/>
    <n v="0"/>
    <n v="0"/>
    <n v="0"/>
    <n v="0"/>
    <m/>
    <n v="7.166666666666667"/>
    <n v="0"/>
    <n v="0"/>
    <n v="0"/>
    <n v="0"/>
    <m/>
    <m/>
    <s v="Mero et mixto imperio"/>
    <s v="De mandamento […] castri et domus Devesseti"/>
    <s v="Devesset"/>
    <s v="Girandus Girandi de Pulinaco"/>
    <s v="Religioso viro fratre Johanne Meuli Hospitalis"/>
    <s v="Bernardo de Ruppe clerico"/>
    <s v="Petro Duneria"/>
    <m/>
    <m/>
    <m/>
  </r>
  <r>
    <n v="1471"/>
    <s v="Débute au 1483"/>
    <s v="Durandus et Vitalis"/>
    <s v="Verilhati"/>
    <x v="62"/>
    <m/>
    <s v="Consanguinei"/>
    <m/>
    <s v="G"/>
    <n v="1342"/>
    <s v="Février"/>
    <s v="?"/>
    <s v="Raynaud de Fay"/>
    <s v="Homo-licgius, justitabilis et expletabilis"/>
    <x v="0"/>
    <s v="Non"/>
    <s v="Oui"/>
    <s v="Oui"/>
    <s v="Oui"/>
    <s v="Non"/>
    <m/>
    <m/>
    <x v="0"/>
    <x v="3"/>
    <x v="0"/>
    <x v="0"/>
    <x v="4"/>
    <x v="0"/>
    <x v="1"/>
    <x v="8"/>
    <x v="0"/>
    <x v="0"/>
    <x v="0"/>
    <s v="Non"/>
    <x v="0"/>
    <x v="0"/>
    <x v="3"/>
    <x v="3"/>
    <x v="2"/>
    <x v="2"/>
    <x v="0"/>
    <x v="9"/>
    <x v="0"/>
    <x v="0"/>
    <x v="0"/>
    <x v="0"/>
    <x v="0"/>
    <x v="0"/>
    <x v="0"/>
    <x v="0"/>
    <x v="0"/>
    <x v="0"/>
    <x v="0"/>
    <x v="0"/>
    <x v="0"/>
    <x v="0"/>
    <x v="0"/>
    <x v="0"/>
    <x v="0"/>
    <x v="0"/>
    <x v="0"/>
    <x v="0"/>
    <x v="0"/>
    <x v="0"/>
    <s v="Manque début"/>
    <s v="Pasturalia + 3 terrae + 3 orti + 11 petiae + 2 nemus + garaitum + ouchetam + molendinam + possessiones + partem pastuum et pasturalium et partem patilium cmmunum"/>
    <s v="Loco et territorio de Rocha"/>
    <m/>
    <m/>
    <m/>
    <m/>
    <m/>
    <m/>
    <m/>
    <m/>
    <m/>
    <m/>
    <m/>
    <m/>
    <m/>
    <m/>
    <m/>
    <m/>
    <m/>
    <m/>
    <m/>
    <m/>
    <m/>
    <m/>
    <m/>
    <m/>
    <m/>
    <m/>
    <m/>
    <m/>
    <m/>
    <m/>
    <m/>
    <m/>
    <m/>
    <m/>
    <m/>
    <m/>
    <m/>
    <m/>
    <m/>
    <m/>
    <m/>
    <m/>
    <m/>
    <m/>
  </r>
  <r>
    <n v="1472"/>
    <m/>
    <s v="Johanneta"/>
    <s v="Bartholomei"/>
    <x v="62"/>
    <m/>
    <s v="Filia Guillermi Bartholomei de Ruppe"/>
    <s v="Nomine Mathene eius uxoris (du père)"/>
    <s v="F"/>
    <n v="1342"/>
    <s v="Février"/>
    <s v="?"/>
    <s v="Raynaud de Fay"/>
    <s v="Mulier-licgia, justitabilis et expletabilis"/>
    <x v="0"/>
    <s v="Non"/>
    <s v="Oui"/>
    <s v="Oui"/>
    <s v="Oui"/>
    <s v="Oui"/>
    <m/>
    <m/>
    <x v="3"/>
    <x v="0"/>
    <x v="5"/>
    <x v="0"/>
    <x v="4"/>
    <x v="0"/>
    <x v="0"/>
    <x v="4"/>
    <x v="0"/>
    <x v="0"/>
    <x v="0"/>
    <s v="Non"/>
    <x v="0"/>
    <x v="0"/>
    <x v="0"/>
    <x v="0"/>
    <x v="0"/>
    <x v="2"/>
    <x v="0"/>
    <x v="4"/>
    <x v="0"/>
    <x v="0"/>
    <x v="0"/>
    <x v="0"/>
    <x v="0"/>
    <x v="0"/>
    <x v="0"/>
    <x v="0"/>
    <x v="0"/>
    <x v="0"/>
    <x v="0"/>
    <x v="0"/>
    <x v="0"/>
    <x v="0"/>
    <x v="0"/>
    <x v="0"/>
    <x v="0"/>
    <x v="0"/>
    <x v="0"/>
    <x v="0"/>
    <x v="0"/>
    <x v="0"/>
    <m/>
    <s v="Domum + 3 peatiae + 3 prati + 3 terrae + jus terram + 2 nemus + partem petia + partem patile"/>
    <m/>
    <s v="Belle-mère"/>
    <s v="Devesset"/>
    <n v="0.5"/>
    <n v="0"/>
    <n v="0"/>
    <n v="0"/>
    <n v="0"/>
    <n v="0"/>
    <n v="0"/>
    <n v="1"/>
    <n v="0"/>
    <n v="0.5"/>
    <n v="0"/>
    <n v="0"/>
    <n v="0"/>
    <n v="0.5"/>
    <n v="0"/>
    <n v="0"/>
    <n v="0"/>
    <n v="0.5"/>
    <n v="0"/>
    <n v="0"/>
    <n v="0"/>
    <n v="0"/>
    <n v="0"/>
    <n v="0"/>
    <s v="Censu de Pupart"/>
    <n v="2.1666666666666665"/>
    <n v="1"/>
    <n v="0.5"/>
    <n v="0"/>
    <n v="0"/>
    <s v="Censu et talha"/>
    <m/>
    <s v="Mero et mixto imperio"/>
    <s v="De juridictione domus Devesseti"/>
    <m/>
    <m/>
    <m/>
    <m/>
    <m/>
    <m/>
    <m/>
    <m/>
  </r>
  <r>
    <n v="1482"/>
    <m/>
    <s v="Armandus"/>
    <s v="De Ruppe"/>
    <x v="62"/>
    <m/>
    <s v="Filius Petri de Ruppe"/>
    <m/>
    <s v="H"/>
    <n v="1342"/>
    <s v="Février"/>
    <s v="?"/>
    <s v="Raynaud de Fay"/>
    <s v="Homo-licgius, justitabilis et expletabilis"/>
    <x v="0"/>
    <s v="Non"/>
    <s v="Oui"/>
    <s v="Oui"/>
    <s v="Oui"/>
    <s v="Oui"/>
    <m/>
    <m/>
    <x v="2"/>
    <x v="2"/>
    <x v="2"/>
    <x v="0"/>
    <x v="3"/>
    <x v="0"/>
    <x v="0"/>
    <x v="1"/>
    <x v="0"/>
    <x v="0"/>
    <x v="0"/>
    <s v="Non"/>
    <x v="0"/>
    <x v="0"/>
    <x v="0"/>
    <x v="4"/>
    <x v="4"/>
    <x v="2"/>
    <x v="0"/>
    <x v="4"/>
    <x v="0"/>
    <x v="0"/>
    <x v="0"/>
    <x v="0"/>
    <x v="0"/>
    <x v="0"/>
    <x v="0"/>
    <x v="2"/>
    <x v="0"/>
    <x v="0"/>
    <x v="0"/>
    <x v="0"/>
    <x v="0"/>
    <x v="0"/>
    <x v="0"/>
    <x v="0"/>
    <x v="0"/>
    <x v="0"/>
    <x v="0"/>
    <x v="0"/>
    <x v="0"/>
    <x v="0"/>
    <m/>
    <s v="Domos + ortos + 2 ouchiam + 3 terram + nemus + 9 prati + 3 garaitum + 6 partem petia + 2 partem prati + 2 partem orti + 2 partem trium vinea + possessiones + partem patile communum + partem"/>
    <m/>
    <m/>
    <s v="Devesset"/>
    <n v="1"/>
    <n v="0"/>
    <n v="0"/>
    <n v="0"/>
    <n v="2"/>
    <n v="0"/>
    <n v="0"/>
    <n v="0"/>
    <n v="1"/>
    <n v="0"/>
    <n v="0"/>
    <n v="0"/>
    <n v="0"/>
    <n v="7.5"/>
    <n v="0"/>
    <n v="0"/>
    <n v="0"/>
    <n v="0"/>
    <n v="0"/>
    <n v="0"/>
    <n v="0"/>
    <n v="0"/>
    <n v="0"/>
    <n v="0"/>
    <s v="Pro Bernardo de Chanhac"/>
    <n v="17.25"/>
    <n v="0"/>
    <n v="0"/>
    <n v="0"/>
    <n v="0"/>
    <s v="Censu et talha"/>
    <m/>
    <s v="Mero et mixto imperio"/>
    <s v="De juridictione mandaenti et infra mandamento domus seu castri Devesseti"/>
    <m/>
    <m/>
    <m/>
    <m/>
    <m/>
    <m/>
    <m/>
    <m/>
  </r>
  <r>
    <n v="1721"/>
    <m/>
    <s v="Guillermus"/>
    <s v="De la Fauria de Sancto Agrippano"/>
    <x v="62"/>
    <m/>
    <m/>
    <m/>
    <s v="H"/>
    <n v="1343"/>
    <s v="Avril"/>
    <n v="17"/>
    <s v="Raynaud de Fay"/>
    <s v="Promisit esse fidelis tenementarius domus Devesseti"/>
    <x v="0"/>
    <m/>
    <m/>
    <m/>
    <m/>
    <m/>
    <m/>
    <s v="Constractus emphiteotarii"/>
    <x v="0"/>
    <x v="0"/>
    <x v="0"/>
    <x v="0"/>
    <x v="6"/>
    <x v="0"/>
    <x v="0"/>
    <x v="1"/>
    <x v="0"/>
    <x v="0"/>
    <x v="0"/>
    <s v="Non"/>
    <x v="0"/>
    <x v="0"/>
    <x v="0"/>
    <x v="0"/>
    <x v="0"/>
    <x v="0"/>
    <x v="0"/>
    <x v="0"/>
    <x v="0"/>
    <x v="0"/>
    <x v="0"/>
    <x v="0"/>
    <x v="0"/>
    <x v="0"/>
    <x v="0"/>
    <x v="0"/>
    <x v="0"/>
    <x v="0"/>
    <x v="0"/>
    <x v="0"/>
    <x v="0"/>
    <x v="0"/>
    <x v="0"/>
    <x v="0"/>
    <x v="0"/>
    <x v="0"/>
    <x v="0"/>
    <x v="0"/>
    <x v="0"/>
    <x v="0"/>
    <m/>
    <s v="Quinta partem nemore"/>
    <m/>
    <m/>
    <m/>
    <n v="0"/>
    <n v="0"/>
    <n v="0"/>
    <n v="0"/>
    <n v="0"/>
    <n v="0"/>
    <n v="0"/>
    <n v="0"/>
    <n v="0"/>
    <n v="0"/>
    <n v="0"/>
    <n v="0"/>
    <n v="0"/>
    <n v="0"/>
    <n v="0"/>
    <n v="0"/>
    <n v="0"/>
    <n v="0"/>
    <n v="0"/>
    <n v="0"/>
    <n v="0"/>
    <n v="0"/>
    <n v="0"/>
    <n v="0"/>
    <m/>
    <n v="0.33333333333333331"/>
    <n v="0"/>
    <n v="0"/>
    <n v="0"/>
    <n v="0"/>
    <m/>
    <s v="Toussaint"/>
    <m/>
    <m/>
    <s v="Devesset, in turre supra portam"/>
    <s v="Girandus Girandi de Pulinaco"/>
    <s v="Johanne Sabaterii"/>
    <s v="Girando Chapati de Chambone"/>
    <m/>
    <m/>
    <m/>
    <m/>
  </r>
  <r>
    <n v="1811"/>
    <m/>
    <s v="Petrus"/>
    <s v="Dulcis"/>
    <x v="62"/>
    <s v="Habitator Sancti Agrippani"/>
    <m/>
    <m/>
    <s v="H"/>
    <n v="1343"/>
    <s v="Janvier"/>
    <n v="13"/>
    <s v="Raynaud de Fay"/>
    <s v="Promisit esse fidelis tenementarius domus Devesseti"/>
    <x v="0"/>
    <m/>
    <m/>
    <m/>
    <m/>
    <m/>
    <m/>
    <s v="Constractus emphiteotarii"/>
    <x v="0"/>
    <x v="0"/>
    <x v="1"/>
    <x v="0"/>
    <x v="0"/>
    <x v="0"/>
    <x v="0"/>
    <x v="4"/>
    <x v="0"/>
    <x v="0"/>
    <x v="0"/>
    <s v="Non"/>
    <x v="0"/>
    <x v="0"/>
    <x v="0"/>
    <x v="0"/>
    <x v="0"/>
    <x v="0"/>
    <x v="0"/>
    <x v="2"/>
    <x v="0"/>
    <x v="0"/>
    <x v="0"/>
    <x v="0"/>
    <x v="0"/>
    <x v="0"/>
    <x v="0"/>
    <x v="0"/>
    <x v="0"/>
    <x v="0"/>
    <x v="0"/>
    <x v="0"/>
    <x v="0"/>
    <x v="0"/>
    <x v="0"/>
    <x v="0"/>
    <x v="0"/>
    <x v="0"/>
    <x v="0"/>
    <x v="0"/>
    <x v="0"/>
    <x v="0"/>
    <m/>
    <s v="Faciam terre + petiam terre + petiam + 2 pratum"/>
    <m/>
    <m/>
    <s v="Devesset"/>
    <n v="0"/>
    <n v="0"/>
    <n v="0"/>
    <n v="0"/>
    <n v="0"/>
    <n v="0"/>
    <n v="0.5"/>
    <n v="0"/>
    <n v="1"/>
    <n v="0"/>
    <n v="0"/>
    <n v="0"/>
    <n v="0"/>
    <n v="0"/>
    <n v="0"/>
    <n v="0"/>
    <n v="0"/>
    <n v="0"/>
    <n v="0"/>
    <n v="0"/>
    <n v="0"/>
    <n v="0"/>
    <n v="0"/>
    <n v="0"/>
    <m/>
    <n v="2.5"/>
    <n v="0"/>
    <n v="0"/>
    <n v="0"/>
    <n v="0"/>
    <m/>
    <s v="Toussaint"/>
    <m/>
    <s v="De omnimoda juridictione castri Devesseti"/>
    <s v="Devesset, in turre supra portam"/>
    <s v="Girandus Girandi de Pulinaco"/>
    <s v="Peyruchono del Trenole"/>
    <s v="Petro Carlonis de Sancto Agrippano"/>
    <s v="Stephano Solherii de Hereone"/>
    <m/>
    <m/>
    <m/>
  </r>
  <r>
    <n v="1812"/>
    <m/>
    <s v="Peyruchonis"/>
    <s v="Del Tremole"/>
    <x v="62"/>
    <m/>
    <m/>
    <m/>
    <s v="H"/>
    <n v="1343"/>
    <s v="Janvier"/>
    <n v="13"/>
    <s v="Raynaud de Fay"/>
    <m/>
    <x v="0"/>
    <m/>
    <m/>
    <m/>
    <m/>
    <m/>
    <m/>
    <m/>
    <x v="0"/>
    <x v="0"/>
    <x v="0"/>
    <x v="0"/>
    <x v="1"/>
    <x v="0"/>
    <x v="0"/>
    <x v="1"/>
    <x v="0"/>
    <x v="0"/>
    <x v="0"/>
    <s v="Non"/>
    <x v="0"/>
    <x v="0"/>
    <x v="0"/>
    <x v="0"/>
    <x v="0"/>
    <x v="0"/>
    <x v="0"/>
    <x v="0"/>
    <x v="0"/>
    <x v="0"/>
    <x v="0"/>
    <x v="0"/>
    <x v="0"/>
    <x v="0"/>
    <x v="0"/>
    <x v="0"/>
    <x v="0"/>
    <x v="0"/>
    <x v="0"/>
    <x v="0"/>
    <x v="0"/>
    <x v="0"/>
    <x v="0"/>
    <x v="0"/>
    <x v="0"/>
    <x v="0"/>
    <x v="0"/>
    <x v="0"/>
    <x v="0"/>
    <x v="0"/>
    <m/>
    <s v="Partem nemore"/>
    <m/>
    <m/>
    <s v="Devesset"/>
    <n v="0"/>
    <n v="0"/>
    <n v="0"/>
    <n v="0"/>
    <n v="0"/>
    <n v="0"/>
    <n v="0"/>
    <n v="0"/>
    <n v="0"/>
    <n v="0"/>
    <n v="0"/>
    <n v="0"/>
    <n v="0"/>
    <n v="0.5"/>
    <n v="0"/>
    <n v="0"/>
    <n v="0"/>
    <n v="0"/>
    <n v="0"/>
    <n v="0"/>
    <n v="0"/>
    <n v="0"/>
    <n v="0"/>
    <n v="0"/>
    <s v="Partem nemore"/>
    <n v="0"/>
    <n v="0"/>
    <n v="0"/>
    <n v="0"/>
    <n v="0"/>
    <m/>
    <s v="Toussaint"/>
    <m/>
    <m/>
    <s v="Devesset, in turre supra portam"/>
    <s v="Girandus Girandi de Pulinaco"/>
    <s v="Petro Dulcis"/>
    <s v="Petro de Mont Reone"/>
    <s v="Andree de Jalibeits"/>
    <m/>
    <m/>
    <m/>
  </r>
  <r>
    <n v="1361"/>
    <s v="Manque la fin"/>
    <s v="Johannes"/>
    <s v="Compatoris"/>
    <x v="63"/>
    <s v="Sancto Agrippavio"/>
    <s v="Liberorum suorum"/>
    <s v="Nomine Caterine de Villa Novo eius uxoris"/>
    <s v="H"/>
    <n v="1342"/>
    <s v="Février"/>
    <n v="12"/>
    <s v="Raynaud de Fay"/>
    <m/>
    <x v="0"/>
    <m/>
    <m/>
    <m/>
    <m/>
    <m/>
    <m/>
    <m/>
    <x v="3"/>
    <x v="6"/>
    <x v="8"/>
    <x v="0"/>
    <x v="3"/>
    <x v="0"/>
    <x v="1"/>
    <x v="0"/>
    <x v="0"/>
    <x v="0"/>
    <x v="0"/>
    <s v="Non"/>
    <x v="0"/>
    <x v="0"/>
    <x v="0"/>
    <x v="4"/>
    <x v="0"/>
    <x v="0"/>
    <x v="0"/>
    <x v="0"/>
    <x v="0"/>
    <x v="0"/>
    <x v="0"/>
    <x v="2"/>
    <x v="0"/>
    <x v="0"/>
    <x v="0"/>
    <x v="0"/>
    <x v="2"/>
    <x v="0"/>
    <x v="0"/>
    <x v="0"/>
    <x v="0"/>
    <x v="0"/>
    <x v="0"/>
    <x v="0"/>
    <x v="0"/>
    <x v="0"/>
    <x v="0"/>
    <x v="0"/>
    <x v="0"/>
    <x v="0"/>
    <m/>
    <s v="Domos + sanhatz + 4 orti + 6 prati + partem pasturale + 2 ouchiae + terra + 2 pasturalia + nemus + blachia"/>
    <m/>
    <s v="Femme + enfants"/>
    <s v="Devesset"/>
    <n v="2"/>
    <n v="0"/>
    <n v="0"/>
    <n v="0"/>
    <n v="0"/>
    <n v="0"/>
    <n v="3"/>
    <n v="1"/>
    <n v="0"/>
    <n v="0"/>
    <n v="0"/>
    <n v="0"/>
    <n v="0"/>
    <n v="5.5"/>
    <n v="3"/>
    <n v="0"/>
    <n v="0"/>
    <n v="0"/>
    <n v="0"/>
    <n v="0"/>
    <n v="0"/>
    <n v="0"/>
    <n v="0"/>
    <n v="0"/>
    <s v="3 orti + 5 prati + partem pasturale + ouchiae + terra et pasturalia + 2 nemus + domo, chambro, grangia uxoris sue et ortis qui habuit a dicta Jalaa"/>
    <n v="6.5000000000000009"/>
    <n v="0"/>
    <n v="4"/>
    <n v="0"/>
    <n v="8.3333333333333329E-2"/>
    <m/>
    <m/>
    <m/>
    <m/>
    <m/>
    <s v="Girandus Girandi de Pulinaco"/>
    <m/>
    <m/>
    <m/>
    <m/>
    <m/>
    <m/>
  </r>
  <r>
    <n v="1631"/>
    <m/>
    <s v="Bartholomeus"/>
    <s v="Alna"/>
    <x v="64"/>
    <m/>
    <m/>
    <s v="Fratrum suorum"/>
    <s v="H"/>
    <n v="1343"/>
    <s v="Avril"/>
    <n v="4"/>
    <s v="Raynaud de Fay"/>
    <s v="Promisit esse fidelis tenementarius domus Devesseti"/>
    <x v="0"/>
    <m/>
    <m/>
    <m/>
    <m/>
    <m/>
    <m/>
    <s v="Constractus emphiteotarii"/>
    <x v="0"/>
    <x v="0"/>
    <x v="11"/>
    <x v="0"/>
    <x v="0"/>
    <x v="0"/>
    <x v="0"/>
    <x v="4"/>
    <x v="0"/>
    <x v="0"/>
    <x v="0"/>
    <s v="Non"/>
    <x v="0"/>
    <x v="0"/>
    <x v="0"/>
    <x v="0"/>
    <x v="0"/>
    <x v="0"/>
    <x v="0"/>
    <x v="14"/>
    <x v="0"/>
    <x v="0"/>
    <x v="0"/>
    <x v="0"/>
    <x v="0"/>
    <x v="0"/>
    <x v="0"/>
    <x v="0"/>
    <x v="0"/>
    <x v="0"/>
    <x v="0"/>
    <x v="0"/>
    <x v="0"/>
    <x v="0"/>
    <x v="0"/>
    <x v="0"/>
    <x v="0"/>
    <x v="0"/>
    <x v="0"/>
    <x v="0"/>
    <x v="0"/>
    <x v="0"/>
    <m/>
    <s v="2 medietatem petie terre + medietatem petie + 2 prati + 3 medietatem prati"/>
    <m/>
    <s v="Frères"/>
    <s v="Devesset"/>
    <n v="0"/>
    <n v="0"/>
    <n v="0"/>
    <n v="0"/>
    <n v="0"/>
    <n v="0"/>
    <n v="1"/>
    <n v="0"/>
    <n v="0"/>
    <n v="0"/>
    <n v="0"/>
    <n v="0"/>
    <n v="0"/>
    <n v="0"/>
    <n v="0"/>
    <n v="0"/>
    <n v="0"/>
    <n v="0"/>
    <n v="0"/>
    <n v="0"/>
    <n v="0"/>
    <n v="0"/>
    <n v="0"/>
    <n v="0"/>
    <m/>
    <n v="1"/>
    <n v="0"/>
    <n v="0"/>
    <n v="0"/>
    <n v="0"/>
    <m/>
    <s v="Toussaint"/>
    <s v="Mero et mixto imperio"/>
    <s v="De mandamento et de juridictione castri Devesseti"/>
    <s v="Devesset, in turre supra portam"/>
    <s v="Girandus Girandi de Pulinaco"/>
    <s v="Johanne Meruli"/>
    <s v="Vitale Comptoris"/>
    <s v="Mathei Morelli de Ruppepaula"/>
    <m/>
    <m/>
    <m/>
  </r>
  <r>
    <n v="1641"/>
    <m/>
    <s v="Petrus"/>
    <s v="Picta"/>
    <x v="64"/>
    <m/>
    <m/>
    <s v="Pro et nomine Bartholomee eius uxoris, filie Vitalis Mola de Sancto Agrippano condam"/>
    <s v="H"/>
    <n v="1343"/>
    <s v="Avril"/>
    <n v="4"/>
    <s v="Raynaud de Fay"/>
    <s v="Promisit esse fidelis domui Devesseti"/>
    <x v="0"/>
    <m/>
    <m/>
    <m/>
    <m/>
    <m/>
    <m/>
    <s v="Constractus emphiteotarii"/>
    <x v="0"/>
    <x v="1"/>
    <x v="4"/>
    <x v="0"/>
    <x v="0"/>
    <x v="0"/>
    <x v="0"/>
    <x v="4"/>
    <x v="0"/>
    <x v="0"/>
    <x v="0"/>
    <s v="Non"/>
    <x v="0"/>
    <x v="0"/>
    <x v="0"/>
    <x v="3"/>
    <x v="0"/>
    <x v="0"/>
    <x v="0"/>
    <x v="1"/>
    <x v="0"/>
    <x v="0"/>
    <x v="0"/>
    <x v="0"/>
    <x v="3"/>
    <x v="0"/>
    <x v="0"/>
    <x v="0"/>
    <x v="0"/>
    <x v="0"/>
    <x v="0"/>
    <x v="0"/>
    <x v="0"/>
    <x v="0"/>
    <x v="0"/>
    <x v="0"/>
    <x v="0"/>
    <x v="0"/>
    <x v="0"/>
    <x v="0"/>
    <x v="0"/>
    <x v="0"/>
    <s v="Scellé à Lyon le 16 mars 1758 nem six folo"/>
    <s v="2 petiam terre + 2 ortum + ouchiam + tenementum + 3 petiam + 2 pratum"/>
    <m/>
    <m/>
    <s v="Devesset"/>
    <n v="0"/>
    <n v="0"/>
    <n v="0"/>
    <n v="0"/>
    <n v="0"/>
    <n v="1"/>
    <n v="0"/>
    <n v="0"/>
    <n v="0"/>
    <n v="0"/>
    <n v="0"/>
    <n v="0"/>
    <n v="0"/>
    <n v="3.5"/>
    <n v="0"/>
    <n v="0"/>
    <n v="0"/>
    <n v="0"/>
    <n v="0"/>
    <n v="0"/>
    <n v="0"/>
    <n v="0"/>
    <n v="0"/>
    <n v="0"/>
    <m/>
    <n v="1.1666666666666667"/>
    <n v="1"/>
    <n v="0"/>
    <n v="0"/>
    <n v="0"/>
    <m/>
    <s v="Toussaint"/>
    <s v="Mero et mixto imperio"/>
    <s v="De mandamento et infra mandamento et de juridictione castri Devesset"/>
    <s v="Devesset, in turre supra portam"/>
    <s v="Girandus Girandi de Pulinaco"/>
    <s v="Johanne Meruli"/>
    <s v="Vitale Comptoris"/>
    <s v="Mathei Morelli de Ruppepaula"/>
    <m/>
    <m/>
    <m/>
  </r>
  <r>
    <n v="1762"/>
    <m/>
    <s v="Guillermus"/>
    <s v="Rocheta"/>
    <x v="64"/>
    <m/>
    <s v="Nobilis + domicelli"/>
    <m/>
    <s v="H"/>
    <n v="1343"/>
    <s v="Décembre"/>
    <n v="1"/>
    <s v="Raynaud de Fay"/>
    <m/>
    <x v="0"/>
    <m/>
    <m/>
    <m/>
    <m/>
    <m/>
    <m/>
    <s v="Constractus emphiteotarii"/>
    <x v="0"/>
    <x v="0"/>
    <x v="4"/>
    <x v="0"/>
    <x v="0"/>
    <x v="0"/>
    <x v="0"/>
    <x v="1"/>
    <x v="0"/>
    <x v="0"/>
    <x v="0"/>
    <s v="Non"/>
    <x v="0"/>
    <x v="0"/>
    <x v="0"/>
    <x v="0"/>
    <x v="0"/>
    <x v="0"/>
    <x v="0"/>
    <x v="0"/>
    <x v="0"/>
    <x v="0"/>
    <x v="0"/>
    <x v="0"/>
    <x v="0"/>
    <x v="0"/>
    <x v="0"/>
    <x v="0"/>
    <x v="0"/>
    <x v="0"/>
    <x v="0"/>
    <x v="0"/>
    <x v="0"/>
    <x v="0"/>
    <x v="0"/>
    <x v="0"/>
    <x v="0"/>
    <x v="0"/>
    <x v="0"/>
    <x v="0"/>
    <x v="0"/>
    <x v="0"/>
    <m/>
    <s v="2 pratum"/>
    <m/>
    <m/>
    <m/>
    <n v="0"/>
    <n v="0"/>
    <n v="0"/>
    <n v="0"/>
    <n v="0"/>
    <n v="0"/>
    <n v="0"/>
    <n v="0"/>
    <n v="0"/>
    <n v="0"/>
    <n v="0"/>
    <n v="0"/>
    <n v="0"/>
    <n v="0"/>
    <n v="0"/>
    <n v="0"/>
    <n v="0"/>
    <n v="0"/>
    <n v="0"/>
    <n v="0"/>
    <n v="0"/>
    <n v="0"/>
    <n v="0"/>
    <n v="0"/>
    <s v="2 pratum"/>
    <n v="1.5"/>
    <n v="0"/>
    <n v="0"/>
    <n v="0"/>
    <n v="0"/>
    <m/>
    <s v="Toussaint"/>
    <s v="Debeaque et alta"/>
    <s v="De omnimoda juridictione domus Devesseti"/>
    <s v="Saint-Agrève, in domo magistri Andree Garalis"/>
    <s v="Girandus Girandi de Pulinaco"/>
    <s v="Magistro Andree Garalis"/>
    <s v="Poncio Galhofa"/>
    <s v="Johanne de Croseto"/>
    <m/>
    <m/>
    <m/>
  </r>
  <r>
    <n v="1803"/>
    <m/>
    <s v="Petrus"/>
    <s v="Carbonis"/>
    <x v="64"/>
    <m/>
    <m/>
    <s v="Pro et nomine Guillermete filie Vitalis Comptoris de Sancto Agrippano condam eius uxoris"/>
    <s v="H"/>
    <n v="1343"/>
    <s v="Janvier"/>
    <n v="13"/>
    <s v="Raynaud de Fay"/>
    <s v="Promisit esse fidelis tenementarius domus Devesseti"/>
    <x v="0"/>
    <m/>
    <m/>
    <m/>
    <m/>
    <m/>
    <m/>
    <m/>
    <x v="0"/>
    <x v="0"/>
    <x v="1"/>
    <x v="0"/>
    <x v="0"/>
    <x v="0"/>
    <x v="0"/>
    <x v="1"/>
    <x v="0"/>
    <x v="0"/>
    <x v="0"/>
    <s v="Non"/>
    <x v="0"/>
    <x v="0"/>
    <x v="0"/>
    <x v="0"/>
    <x v="0"/>
    <x v="0"/>
    <x v="0"/>
    <x v="0"/>
    <x v="0"/>
    <x v="0"/>
    <x v="0"/>
    <x v="0"/>
    <x v="0"/>
    <x v="0"/>
    <x v="0"/>
    <x v="0"/>
    <x v="0"/>
    <x v="0"/>
    <x v="0"/>
    <x v="0"/>
    <x v="0"/>
    <x v="0"/>
    <x v="0"/>
    <x v="0"/>
    <x v="0"/>
    <x v="0"/>
    <x v="0"/>
    <x v="0"/>
    <x v="0"/>
    <x v="0"/>
    <m/>
    <s v="Pratum"/>
    <m/>
    <m/>
    <s v="Devesset"/>
    <n v="0"/>
    <n v="0"/>
    <n v="0"/>
    <n v="0"/>
    <n v="0"/>
    <n v="0"/>
    <n v="0"/>
    <n v="0"/>
    <n v="0"/>
    <n v="0"/>
    <n v="0"/>
    <n v="0"/>
    <n v="0"/>
    <n v="0.5"/>
    <n v="0"/>
    <n v="0"/>
    <n v="0"/>
    <n v="0"/>
    <n v="0"/>
    <n v="0"/>
    <n v="0"/>
    <n v="0"/>
    <n v="0"/>
    <n v="0"/>
    <s v="Pratum"/>
    <n v="0"/>
    <n v="0"/>
    <n v="0"/>
    <n v="0"/>
    <n v="0"/>
    <m/>
    <s v="Toussaint"/>
    <m/>
    <m/>
    <s v="Devesset, in turre supra portam"/>
    <s v="Girandus Girandi de Pulinaco"/>
    <s v="Peroneto de Monterotondo"/>
    <s v="Peyruchono del Trenoleto"/>
    <s v="Stephano Solherii"/>
    <m/>
    <m/>
    <m/>
  </r>
  <r>
    <n v="1821"/>
    <m/>
    <s v="Martinus"/>
    <s v="Pupart"/>
    <x v="64"/>
    <s v="Habitator Sancti Agrippani"/>
    <s v="Filius Johannis Pupart"/>
    <s v="Nomine Michaelis eius fratris et Guigone eius sororis"/>
    <s v="H"/>
    <n v="1343"/>
    <m/>
    <s v="Die Sabati in festo Beati Johannis Anthoni"/>
    <s v="Raynaud de Fay"/>
    <m/>
    <x v="0"/>
    <m/>
    <m/>
    <m/>
    <m/>
    <m/>
    <m/>
    <s v="Constractus emphiteotarii"/>
    <x v="0"/>
    <x v="0"/>
    <x v="0"/>
    <x v="0"/>
    <x v="1"/>
    <x v="0"/>
    <x v="0"/>
    <x v="1"/>
    <x v="0"/>
    <x v="0"/>
    <x v="0"/>
    <s v="Non"/>
    <x v="0"/>
    <x v="0"/>
    <x v="0"/>
    <x v="0"/>
    <x v="0"/>
    <x v="0"/>
    <x v="0"/>
    <x v="0"/>
    <x v="0"/>
    <x v="0"/>
    <x v="0"/>
    <x v="0"/>
    <x v="0"/>
    <x v="0"/>
    <x v="0"/>
    <x v="0"/>
    <x v="0"/>
    <x v="0"/>
    <x v="0"/>
    <x v="0"/>
    <x v="0"/>
    <x v="0"/>
    <x v="0"/>
    <x v="0"/>
    <x v="0"/>
    <x v="0"/>
    <x v="0"/>
    <x v="0"/>
    <x v="0"/>
    <x v="0"/>
    <m/>
    <s v="Petiam nemoris"/>
    <m/>
    <s v="Frère et sœur"/>
    <s v="Devesset"/>
    <n v="0"/>
    <n v="0"/>
    <n v="0"/>
    <n v="0"/>
    <n v="0"/>
    <n v="0"/>
    <n v="0"/>
    <n v="0"/>
    <n v="0"/>
    <n v="0"/>
    <n v="0"/>
    <n v="0"/>
    <n v="0"/>
    <n v="0.5"/>
    <n v="0"/>
    <n v="0"/>
    <n v="0"/>
    <n v="0"/>
    <n v="0"/>
    <n v="0"/>
    <n v="0"/>
    <n v="0"/>
    <n v="0"/>
    <n v="0"/>
    <m/>
    <n v="0"/>
    <n v="0"/>
    <n v="0"/>
    <n v="0"/>
    <n v="0"/>
    <m/>
    <s v="Toussaint"/>
    <m/>
    <m/>
    <s v="Devesset, in turre supra portam"/>
    <s v="Girandus Girandi de Pulinaco"/>
    <s v="Fratre Petro de Casalibus"/>
    <s v="Petro Martini de Hereone"/>
    <m/>
    <m/>
    <m/>
    <m/>
  </r>
  <r>
    <n v="1832"/>
    <s v="Marge illisible"/>
    <s v="Guillermus"/>
    <s v="Ariberii"/>
    <x v="64"/>
    <m/>
    <s v="Magistri notarii regi"/>
    <m/>
    <s v="H"/>
    <n v="1344"/>
    <s v="Janvier"/>
    <n v="24"/>
    <s v="Raynaud de Fay"/>
    <m/>
    <x v="0"/>
    <m/>
    <m/>
    <m/>
    <m/>
    <m/>
    <m/>
    <s v="Constractus emphiteotarii"/>
    <x v="0"/>
    <x v="0"/>
    <x v="5"/>
    <x v="0"/>
    <x v="7"/>
    <x v="0"/>
    <x v="0"/>
    <x v="4"/>
    <x v="0"/>
    <x v="0"/>
    <x v="0"/>
    <s v="Non"/>
    <x v="0"/>
    <x v="0"/>
    <x v="0"/>
    <x v="0"/>
    <x v="0"/>
    <x v="0"/>
    <x v="0"/>
    <x v="0"/>
    <x v="0"/>
    <x v="0"/>
    <x v="0"/>
    <x v="0"/>
    <x v="0"/>
    <x v="0"/>
    <x v="0"/>
    <x v="0"/>
    <x v="0"/>
    <x v="0"/>
    <x v="0"/>
    <x v="0"/>
    <x v="0"/>
    <x v="0"/>
    <x v="0"/>
    <x v="0"/>
    <x v="0"/>
    <x v="0"/>
    <x v="0"/>
    <x v="0"/>
    <x v="0"/>
    <x v="1"/>
    <m/>
    <s v="3 nemus + 2 terra + terras + possessiones + 3 petie terram + 3 pratum + 2 partem plani"/>
    <m/>
    <m/>
    <m/>
    <n v="0"/>
    <n v="0"/>
    <n v="0"/>
    <n v="0"/>
    <n v="0"/>
    <n v="0"/>
    <n v="0"/>
    <n v="0"/>
    <n v="0"/>
    <n v="0"/>
    <n v="0"/>
    <n v="0"/>
    <n v="0"/>
    <n v="0"/>
    <n v="0"/>
    <n v="0"/>
    <n v="0"/>
    <n v="0"/>
    <n v="0"/>
    <n v="0"/>
    <n v="0"/>
    <n v="0"/>
    <n v="0"/>
    <n v="0"/>
    <m/>
    <n v="2.4166666666666665"/>
    <n v="1"/>
    <n v="0"/>
    <n v="0"/>
    <n v="0"/>
    <s v="Censu et talha"/>
    <s v="Toussaint"/>
    <m/>
    <m/>
    <s v="Devesset, in camera fratris Johannis Meruli"/>
    <s v="Girandus Girandi de Pulinaco"/>
    <s v="Martini de Ronerria perlutero"/>
    <s v="Fratre Johanne Meruli"/>
    <s v="Bertrando de Ruppe"/>
    <m/>
    <m/>
    <m/>
  </r>
  <r>
    <n v="1833"/>
    <m/>
    <s v="Guillermus"/>
    <s v="Ariberii"/>
    <x v="64"/>
    <m/>
    <s v="Magistri notarii regi"/>
    <m/>
    <s v="H"/>
    <n v="1345"/>
    <s v="Mars"/>
    <m/>
    <s v="Raynaud de Fay"/>
    <m/>
    <x v="0"/>
    <m/>
    <m/>
    <m/>
    <m/>
    <m/>
    <m/>
    <s v="Constractus emphiteotarii"/>
    <x v="0"/>
    <x v="0"/>
    <x v="0"/>
    <x v="0"/>
    <x v="3"/>
    <x v="0"/>
    <x v="0"/>
    <x v="0"/>
    <x v="0"/>
    <x v="0"/>
    <x v="0"/>
    <s v="Non"/>
    <x v="0"/>
    <x v="0"/>
    <x v="0"/>
    <x v="0"/>
    <x v="0"/>
    <x v="0"/>
    <x v="0"/>
    <x v="0"/>
    <x v="0"/>
    <x v="0"/>
    <x v="0"/>
    <x v="0"/>
    <x v="0"/>
    <x v="0"/>
    <x v="0"/>
    <x v="0"/>
    <x v="0"/>
    <x v="0"/>
    <x v="0"/>
    <x v="0"/>
    <x v="0"/>
    <x v="0"/>
    <x v="0"/>
    <x v="0"/>
    <x v="0"/>
    <x v="0"/>
    <x v="0"/>
    <x v="0"/>
    <x v="0"/>
    <x v="0"/>
    <m/>
    <s v="Nemus + terra"/>
    <m/>
    <m/>
    <m/>
    <n v="0"/>
    <n v="0"/>
    <n v="0"/>
    <n v="0"/>
    <n v="0"/>
    <n v="0"/>
    <n v="0"/>
    <n v="0"/>
    <n v="0"/>
    <n v="0"/>
    <n v="0"/>
    <n v="0"/>
    <n v="0"/>
    <n v="0"/>
    <n v="0"/>
    <n v="0"/>
    <n v="0"/>
    <n v="0"/>
    <n v="0"/>
    <n v="0"/>
    <n v="0"/>
    <n v="0"/>
    <n v="0"/>
    <n v="0"/>
    <s v="Terra et nemus"/>
    <n v="8.3333333333333329E-2"/>
    <n v="0"/>
    <n v="0"/>
    <n v="0"/>
    <n v="0"/>
    <m/>
    <m/>
    <m/>
    <m/>
    <s v="Devesset, sub estras"/>
    <s v="Girandus Girandi de Pulinaco"/>
    <s v="Mondono de Flassaco"/>
    <s v="Fratre Johanne Meruli"/>
    <m/>
    <m/>
    <m/>
    <m/>
  </r>
  <r>
    <n v="1315"/>
    <m/>
    <s v="Johanos"/>
    <s v="De Molendino"/>
    <x v="65"/>
    <m/>
    <m/>
    <m/>
    <s v="H"/>
    <n v="1343"/>
    <s v="Décembre"/>
    <n v="11"/>
    <s v="Raynaud de Fay"/>
    <s v="Promisit esse fidelis tenementarius domus Devesseti"/>
    <x v="0"/>
    <m/>
    <m/>
    <m/>
    <m/>
    <m/>
    <m/>
    <m/>
    <x v="0"/>
    <x v="0"/>
    <x v="0"/>
    <x v="0"/>
    <x v="0"/>
    <x v="0"/>
    <x v="0"/>
    <x v="1"/>
    <x v="0"/>
    <x v="0"/>
    <x v="0"/>
    <s v="Non"/>
    <x v="0"/>
    <x v="0"/>
    <x v="0"/>
    <x v="0"/>
    <x v="0"/>
    <x v="0"/>
    <x v="0"/>
    <x v="0"/>
    <x v="0"/>
    <x v="0"/>
    <x v="0"/>
    <x v="0"/>
    <x v="0"/>
    <x v="0"/>
    <x v="0"/>
    <x v="4"/>
    <x v="0"/>
    <x v="0"/>
    <x v="0"/>
    <x v="0"/>
    <x v="0"/>
    <x v="0"/>
    <x v="0"/>
    <x v="0"/>
    <x v="0"/>
    <x v="0"/>
    <x v="0"/>
    <x v="0"/>
    <x v="0"/>
    <x v="0"/>
    <m/>
    <s v="Vinea"/>
    <m/>
    <m/>
    <m/>
    <n v="0"/>
    <n v="0"/>
    <n v="0"/>
    <n v="0"/>
    <n v="0"/>
    <n v="0"/>
    <n v="0"/>
    <n v="0"/>
    <n v="0"/>
    <n v="0"/>
    <n v="0"/>
    <n v="0"/>
    <n v="0"/>
    <n v="0"/>
    <n v="0"/>
    <n v="0"/>
    <n v="0"/>
    <n v="0"/>
    <n v="0"/>
    <n v="0"/>
    <n v="0"/>
    <n v="0"/>
    <n v="0"/>
    <n v="0"/>
    <m/>
    <n v="0"/>
    <s v="?"/>
    <n v="0"/>
    <n v="0"/>
    <n v="0"/>
    <m/>
    <s v="Toussaint"/>
    <m/>
    <m/>
    <s v="Apud Sanctum Agripavium, in domo Broscherii"/>
    <s v="Girandus Girandi de Pulinaco"/>
    <s v="Poncio eius fratre"/>
    <m/>
    <m/>
    <m/>
    <m/>
    <m/>
  </r>
  <r>
    <n v="1391"/>
    <m/>
    <s v="Bernardus"/>
    <s v="De Sanna"/>
    <x v="66"/>
    <m/>
    <s v="Nobilis viri"/>
    <s v="Gondomius eius filius"/>
    <s v="H"/>
    <n v="1342"/>
    <s v="Juillet"/>
    <n v="15"/>
    <s v="Raynaud de Fay"/>
    <m/>
    <x v="0"/>
    <m/>
    <m/>
    <m/>
    <m/>
    <m/>
    <m/>
    <m/>
    <x v="0"/>
    <x v="0"/>
    <x v="1"/>
    <x v="0"/>
    <x v="0"/>
    <x v="0"/>
    <x v="0"/>
    <x v="9"/>
    <x v="0"/>
    <x v="0"/>
    <x v="0"/>
    <s v="Non"/>
    <x v="0"/>
    <x v="0"/>
    <x v="0"/>
    <x v="0"/>
    <x v="0"/>
    <x v="0"/>
    <x v="0"/>
    <x v="0"/>
    <x v="0"/>
    <x v="0"/>
    <x v="0"/>
    <x v="0"/>
    <x v="0"/>
    <x v="0"/>
    <x v="0"/>
    <x v="0"/>
    <x v="0"/>
    <x v="0"/>
    <x v="0"/>
    <x v="0"/>
    <x v="0"/>
    <x v="0"/>
    <x v="0"/>
    <x v="0"/>
    <x v="0"/>
    <x v="0"/>
    <x v="0"/>
    <x v="0"/>
    <x v="0"/>
    <x v="1"/>
    <m/>
    <s v="Sextam partem petiam terre + 9 petiam terre + partem in facia + 3 possessiones + 1 pratum"/>
    <m/>
    <s v="Fils"/>
    <s v="Sanna"/>
    <n v="0"/>
    <n v="0"/>
    <n v="0"/>
    <n v="0"/>
    <n v="1"/>
    <n v="0"/>
    <n v="0"/>
    <n v="0"/>
    <n v="0"/>
    <n v="0"/>
    <n v="0"/>
    <n v="1"/>
    <n v="0"/>
    <n v="0"/>
    <n v="0"/>
    <n v="0"/>
    <n v="0"/>
    <n v="0"/>
    <n v="0"/>
    <n v="0"/>
    <n v="0"/>
    <n v="0"/>
    <n v="0"/>
    <n v="0"/>
    <m/>
    <n v="4"/>
    <n v="0"/>
    <n v="0"/>
    <n v="0"/>
    <n v="0"/>
    <m/>
    <m/>
    <s v="Alta et bassa mero et mixto imperio"/>
    <s v="De et sub omnimoda juridictione castri Devesseti"/>
    <s v="Devesset, sub estras"/>
    <s v="Girandus Girandi de Pulinaco"/>
    <s v="Fratre Petro de Casalibus"/>
    <s v="Johanne Meruli"/>
    <s v="Andree Garalis norarii regis"/>
    <s v="Mandono de Flossac domicelli"/>
    <m/>
    <s v="Pacto que erant inter domini Raymundum de Sanna militem patrem dicti Raymundi condam ex parte una et domini Armandum de Retortorio militem condam ex parte altera "/>
  </r>
  <r>
    <n v="1873"/>
    <m/>
    <s v="Johannes"/>
    <s v="Clementis"/>
    <x v="67"/>
    <s v="Habitator de Romenas"/>
    <s v="Filius Guillermi Clementis de Socheria"/>
    <m/>
    <s v="H"/>
    <n v="1346"/>
    <s v="Juillet"/>
    <n v="30"/>
    <s v="Raynaud de Fay"/>
    <m/>
    <x v="0"/>
    <m/>
    <m/>
    <m/>
    <m/>
    <m/>
    <m/>
    <m/>
    <x v="0"/>
    <x v="0"/>
    <x v="0"/>
    <x v="0"/>
    <x v="0"/>
    <x v="0"/>
    <x v="0"/>
    <x v="1"/>
    <x v="0"/>
    <x v="0"/>
    <x v="0"/>
    <s v="Non"/>
    <x v="0"/>
    <x v="0"/>
    <x v="3"/>
    <x v="0"/>
    <x v="0"/>
    <x v="0"/>
    <x v="0"/>
    <x v="0"/>
    <x v="0"/>
    <x v="0"/>
    <x v="0"/>
    <x v="0"/>
    <x v="0"/>
    <x v="0"/>
    <x v="0"/>
    <x v="0"/>
    <x v="0"/>
    <x v="0"/>
    <x v="0"/>
    <x v="0"/>
    <x v="0"/>
    <x v="0"/>
    <x v="0"/>
    <x v="0"/>
    <x v="0"/>
    <x v="0"/>
    <x v="0"/>
    <x v="0"/>
    <x v="0"/>
    <x v="0"/>
    <s v="Pro et nomine levate molendini sui de Romigeriis"/>
    <s v="Molendinum"/>
    <m/>
    <m/>
    <s v="Devesset"/>
    <n v="0"/>
    <n v="0"/>
    <n v="0"/>
    <n v="0"/>
    <n v="0"/>
    <n v="0"/>
    <n v="0"/>
    <n v="0"/>
    <n v="0"/>
    <n v="0"/>
    <n v="0"/>
    <n v="0"/>
    <n v="0"/>
    <n v="0"/>
    <n v="0"/>
    <n v="1"/>
    <n v="0"/>
    <n v="0"/>
    <n v="0"/>
    <n v="0"/>
    <n v="0"/>
    <n v="0"/>
    <n v="0"/>
    <n v="0"/>
    <m/>
    <n v="0"/>
    <n v="0"/>
    <n v="0"/>
    <n v="0"/>
    <n v="0"/>
    <m/>
    <s v="Toussaint"/>
    <m/>
    <m/>
    <s v="Devesset"/>
    <s v="Girandus Girandi de Pulinaco"/>
    <s v="Johanne de Hospitali de Amonaco clerico"/>
    <s v="Petro Fayoli Romero de Chambeto"/>
    <m/>
    <m/>
    <m/>
    <m/>
  </r>
  <r>
    <n v="1431"/>
    <m/>
    <s v="Filius"/>
    <s v="De Unario"/>
    <x v="68"/>
    <m/>
    <s v="Filius Guigonis Unario condam"/>
    <m/>
    <s v="H"/>
    <n v="1342"/>
    <s v="Février"/>
    <n v="12"/>
    <s v="Raynaud de Fay"/>
    <s v="Homo-licgius"/>
    <x v="0"/>
    <m/>
    <m/>
    <m/>
    <m/>
    <m/>
    <m/>
    <s v="Constractus emphiteotarii"/>
    <x v="3"/>
    <x v="2"/>
    <x v="2"/>
    <x v="0"/>
    <x v="1"/>
    <x v="1"/>
    <x v="1"/>
    <x v="4"/>
    <x v="0"/>
    <x v="0"/>
    <x v="0"/>
    <s v="Oui"/>
    <x v="0"/>
    <x v="0"/>
    <x v="3"/>
    <x v="0"/>
    <x v="0"/>
    <x v="0"/>
    <x v="0"/>
    <x v="0"/>
    <x v="0"/>
    <x v="0"/>
    <x v="0"/>
    <x v="0"/>
    <x v="0"/>
    <x v="0"/>
    <x v="0"/>
    <x v="0"/>
    <x v="0"/>
    <x v="0"/>
    <x v="0"/>
    <x v="0"/>
    <x v="0"/>
    <x v="0"/>
    <x v="0"/>
    <x v="0"/>
    <x v="0"/>
    <x v="0"/>
    <x v="0"/>
    <x v="0"/>
    <x v="0"/>
    <x v="1"/>
    <m/>
    <s v="Partum [-]rii"/>
    <m/>
    <m/>
    <s v="Devesset"/>
    <n v="0.5"/>
    <n v="0"/>
    <n v="0"/>
    <n v="0"/>
    <n v="0"/>
    <n v="0"/>
    <n v="0"/>
    <n v="0"/>
    <n v="0"/>
    <n v="0"/>
    <n v="0"/>
    <n v="0"/>
    <n v="0"/>
    <n v="0"/>
    <n v="6"/>
    <n v="0"/>
    <n v="0"/>
    <n v="1"/>
    <n v="0"/>
    <n v="0"/>
    <n v="0"/>
    <n v="0"/>
    <n v="0"/>
    <n v="0"/>
    <m/>
    <n v="5"/>
    <n v="0"/>
    <n v="0"/>
    <n v="0"/>
    <n v="0"/>
    <m/>
    <s v="Toussaint"/>
    <s v="De dominio et senhoria"/>
    <s v="Domus Devesseti"/>
    <s v="Devesset, in turre supra portam"/>
    <s v="Girandus Girandi de Pulinaco"/>
    <s v="Guillermo Grosseti"/>
    <s v="Jacobo del Ferre Sartori parrochie Sancti Baschi"/>
    <m/>
    <m/>
    <m/>
    <s v="Quadam compositione ?"/>
  </r>
  <r>
    <n v="1321"/>
    <s v="Page dure à lire"/>
    <s v="Duorum Fratrum"/>
    <s v="De Vilario"/>
    <x v="69"/>
    <s v="Parrochie de Masthanelha"/>
    <s v="Heredes […] de Vilario condam"/>
    <m/>
    <s v="G"/>
    <n v="1343"/>
    <s v="Décembre"/>
    <n v="12"/>
    <s v="Raynaud de Fay"/>
    <s v="Homo-licgius"/>
    <x v="0"/>
    <m/>
    <m/>
    <m/>
    <m/>
    <m/>
    <m/>
    <s v="Constractus emphiteotarii"/>
    <x v="3"/>
    <x v="2"/>
    <x v="2"/>
    <x v="1"/>
    <x v="1"/>
    <x v="1"/>
    <x v="1"/>
    <x v="4"/>
    <x v="0"/>
    <x v="0"/>
    <x v="0"/>
    <s v="Non"/>
    <x v="0"/>
    <x v="0"/>
    <x v="3"/>
    <x v="0"/>
    <x v="0"/>
    <x v="0"/>
    <x v="0"/>
    <x v="0"/>
    <x v="0"/>
    <x v="0"/>
    <x v="0"/>
    <x v="0"/>
    <x v="0"/>
    <x v="0"/>
    <x v="0"/>
    <x v="0"/>
    <x v="0"/>
    <x v="0"/>
    <x v="0"/>
    <x v="0"/>
    <x v="0"/>
    <x v="0"/>
    <x v="0"/>
    <x v="0"/>
    <x v="0"/>
    <x v="0"/>
    <x v="0"/>
    <x v="0"/>
    <x v="0"/>
    <x v="1"/>
    <m/>
    <s v="Medietate territorio del Vilar"/>
    <m/>
    <m/>
    <s v="Chalencon"/>
    <n v="1"/>
    <n v="0"/>
    <n v="0"/>
    <n v="0"/>
    <n v="0"/>
    <n v="0"/>
    <n v="0"/>
    <n v="0"/>
    <n v="0"/>
    <n v="2"/>
    <n v="12"/>
    <n v="0"/>
    <n v="0"/>
    <n v="0"/>
    <n v="0"/>
    <n v="0"/>
    <n v="0"/>
    <n v="0"/>
    <n v="0"/>
    <n v="0"/>
    <n v="0"/>
    <n v="0"/>
    <n v="0"/>
    <n v="0"/>
    <m/>
    <n v="1"/>
    <n v="0"/>
    <n v="0"/>
    <n v="0"/>
    <n v="0"/>
    <m/>
    <s v="Toussaint"/>
    <s v="De dominio et senhoria"/>
    <s v="Domus Devesseti"/>
    <s v="Apud Lo Vilar, in domo fratrum de Vilario"/>
    <s v="Girandus Girandi de Pulinaco"/>
    <s v="Comme plus bas"/>
    <m/>
    <m/>
    <m/>
    <m/>
    <s v="In compositione inter domus Devesseti et domini de Mastra"/>
  </r>
  <r>
    <n v="1322"/>
    <m/>
    <s v="Johannes"/>
    <s v="De Vilario"/>
    <x v="69"/>
    <m/>
    <s v="Filius Guigone de Vilario condam"/>
    <m/>
    <s v="H"/>
    <n v="1343"/>
    <s v="Décembre"/>
    <n v="12"/>
    <s v="Raynaud de Fay"/>
    <s v="Homo-licgius"/>
    <x v="0"/>
    <m/>
    <m/>
    <m/>
    <m/>
    <m/>
    <m/>
    <s v="Constractus emphiteotarii"/>
    <x v="3"/>
    <x v="2"/>
    <x v="2"/>
    <x v="1"/>
    <x v="1"/>
    <x v="1"/>
    <x v="1"/>
    <x v="1"/>
    <x v="1"/>
    <x v="1"/>
    <x v="0"/>
    <s v="Non"/>
    <x v="0"/>
    <x v="0"/>
    <x v="3"/>
    <x v="0"/>
    <x v="0"/>
    <x v="0"/>
    <x v="0"/>
    <x v="0"/>
    <x v="0"/>
    <x v="0"/>
    <x v="0"/>
    <x v="0"/>
    <x v="0"/>
    <x v="0"/>
    <x v="0"/>
    <x v="0"/>
    <x v="0"/>
    <x v="2"/>
    <x v="0"/>
    <x v="0"/>
    <x v="0"/>
    <x v="0"/>
    <x v="0"/>
    <x v="0"/>
    <x v="0"/>
    <x v="0"/>
    <x v="0"/>
    <x v="0"/>
    <x v="0"/>
    <x v="1"/>
    <m/>
    <s v="Quartam partem loci et territorii del Vilar"/>
    <m/>
    <m/>
    <s v="Chalencon"/>
    <n v="0.5"/>
    <n v="0"/>
    <n v="0"/>
    <n v="0"/>
    <n v="0"/>
    <n v="0"/>
    <n v="0"/>
    <n v="0"/>
    <n v="0"/>
    <n v="1"/>
    <n v="6"/>
    <n v="0"/>
    <n v="0"/>
    <n v="0"/>
    <n v="0"/>
    <n v="0"/>
    <n v="0"/>
    <n v="0"/>
    <n v="0"/>
    <n v="0"/>
    <n v="0"/>
    <n v="0"/>
    <n v="0"/>
    <n v="0"/>
    <m/>
    <n v="5"/>
    <n v="0"/>
    <n v="0"/>
    <n v="0"/>
    <n v="0"/>
    <m/>
    <s v="Toussaint"/>
    <s v="De dominio et senhoria"/>
    <s v="Domus Devesseti"/>
    <s v="Apud Lo Vilar, in domo fratrum de Vilario"/>
    <s v="Girandus Girandi de Pulinaco"/>
    <s v="Comme plus bas"/>
    <m/>
    <m/>
    <m/>
    <m/>
    <m/>
  </r>
  <r>
    <n v="1492"/>
    <m/>
    <s v="Petrus"/>
    <s v="Curtilis"/>
    <x v="70"/>
    <m/>
    <m/>
    <m/>
    <s v="H"/>
    <n v="1342"/>
    <s v="Février"/>
    <s v="?"/>
    <s v="Raynaud de Fay"/>
    <m/>
    <x v="0"/>
    <m/>
    <m/>
    <m/>
    <m/>
    <m/>
    <m/>
    <s v="Constractus emphiteotarii"/>
    <x v="0"/>
    <x v="0"/>
    <x v="0"/>
    <x v="0"/>
    <x v="0"/>
    <x v="0"/>
    <x v="0"/>
    <x v="4"/>
    <x v="0"/>
    <x v="0"/>
    <x v="0"/>
    <s v="Non"/>
    <x v="0"/>
    <x v="0"/>
    <x v="0"/>
    <x v="0"/>
    <x v="0"/>
    <x v="0"/>
    <x v="0"/>
    <x v="0"/>
    <x v="0"/>
    <x v="0"/>
    <x v="0"/>
    <x v="0"/>
    <x v="0"/>
    <x v="0"/>
    <x v="0"/>
    <x v="0"/>
    <x v="0"/>
    <x v="0"/>
    <x v="0"/>
    <x v="0"/>
    <x v="0"/>
    <x v="4"/>
    <x v="0"/>
    <x v="0"/>
    <x v="0"/>
    <x v="0"/>
    <x v="0"/>
    <x v="0"/>
    <x v="0"/>
    <x v="0"/>
    <m/>
    <s v="Petiam terre + lenata"/>
    <m/>
    <m/>
    <m/>
    <n v="0"/>
    <n v="0"/>
    <n v="0"/>
    <n v="0"/>
    <n v="0"/>
    <n v="0"/>
    <n v="0"/>
    <n v="0"/>
    <n v="0"/>
    <n v="0"/>
    <n v="0"/>
    <n v="0"/>
    <n v="0"/>
    <n v="0"/>
    <n v="0"/>
    <n v="0"/>
    <n v="0"/>
    <n v="0"/>
    <n v="0"/>
    <n v="0"/>
    <n v="0"/>
    <n v="0"/>
    <n v="0"/>
    <n v="0"/>
    <s v="Petie terra + lenata"/>
    <n v="0.75"/>
    <n v="0"/>
    <n v="0"/>
    <n v="0"/>
    <n v="0"/>
    <m/>
    <s v="Toussaint"/>
    <m/>
    <m/>
    <s v="Devesset, in quoquina"/>
    <s v="Girandus Girandi de Pulinaco"/>
    <s v="Petro de Casalibus"/>
    <s v="Johanne Meruli"/>
    <s v="Petro Del Cros"/>
    <m/>
    <m/>
    <m/>
  </r>
  <r>
    <n v="1503"/>
    <m/>
    <s v="Andree"/>
    <s v="Ruelli"/>
    <x v="70"/>
    <m/>
    <s v="Filius Jacobi Ruelli de Villa Longia"/>
    <s v="Pro ac nomine Jacobi Ruelli eius fratris"/>
    <s v="H"/>
    <n v="1345"/>
    <s v="Novembre"/>
    <n v="6"/>
    <s v="Raynaud de Fay"/>
    <s v="Promisit esse hominem licgium"/>
    <x v="0"/>
    <m/>
    <m/>
    <m/>
    <m/>
    <m/>
    <m/>
    <s v="Constractus emphiteotarii"/>
    <x v="0"/>
    <x v="3"/>
    <x v="0"/>
    <x v="0"/>
    <x v="0"/>
    <x v="0"/>
    <x v="0"/>
    <x v="4"/>
    <x v="3"/>
    <x v="0"/>
    <x v="0"/>
    <s v="Non"/>
    <x v="0"/>
    <x v="0"/>
    <x v="0"/>
    <x v="0"/>
    <x v="0"/>
    <x v="0"/>
    <x v="0"/>
    <x v="0"/>
    <x v="0"/>
    <x v="0"/>
    <x v="0"/>
    <x v="0"/>
    <x v="0"/>
    <x v="0"/>
    <x v="0"/>
    <x v="0"/>
    <x v="0"/>
    <x v="0"/>
    <x v="0"/>
    <x v="0"/>
    <x v="0"/>
    <x v="0"/>
    <x v="0"/>
    <x v="0"/>
    <x v="0"/>
    <x v="0"/>
    <x v="0"/>
    <x v="0"/>
    <x v="0"/>
    <x v="0"/>
    <m/>
    <s v="Casale + 3 ortum + meitenchadam terre"/>
    <m/>
    <s v="Frère"/>
    <m/>
    <n v="1"/>
    <n v="0"/>
    <n v="0"/>
    <n v="0"/>
    <n v="0"/>
    <n v="0"/>
    <n v="0"/>
    <n v="0"/>
    <n v="0"/>
    <n v="0"/>
    <n v="0"/>
    <n v="0"/>
    <n v="0"/>
    <n v="0"/>
    <n v="0"/>
    <n v="0"/>
    <n v="0"/>
    <n v="0"/>
    <n v="0"/>
    <n v="0"/>
    <n v="0"/>
    <n v="0"/>
    <n v="0"/>
    <n v="0"/>
    <m/>
    <n v="0.75"/>
    <n v="0"/>
    <n v="0"/>
    <n v="0"/>
    <n v="0"/>
    <m/>
    <s v="Toussaint"/>
    <m/>
    <m/>
    <s v="Devesset"/>
    <s v="Girandus Girandi de Pulinaco"/>
    <s v="Andree de Julibertis"/>
    <s v="Johanneto Chambonant de Chalmariais"/>
    <s v="Johaneito Meruli"/>
    <m/>
    <m/>
    <m/>
  </r>
  <r>
    <n v="1541"/>
    <m/>
    <s v="Vitalis"/>
    <s v="Ambayserii"/>
    <x v="63"/>
    <s v="Sive de Las Sanholas"/>
    <m/>
    <m/>
    <s v="H"/>
    <n v="1342"/>
    <s v="Février"/>
    <n v="17"/>
    <s v="Raynaud de Fay"/>
    <s v="Homo-licgius, justitabilis et expletabilis"/>
    <x v="0"/>
    <s v="Non"/>
    <s v="Oui"/>
    <s v="Oui"/>
    <s v="Oui"/>
    <s v="Non"/>
    <s v="Avec bœufs et animaux"/>
    <s v="Constractus emphiteotarii"/>
    <x v="3"/>
    <x v="4"/>
    <x v="4"/>
    <x v="0"/>
    <x v="0"/>
    <x v="0"/>
    <x v="0"/>
    <x v="0"/>
    <x v="0"/>
    <x v="0"/>
    <x v="0"/>
    <s v="Non"/>
    <x v="0"/>
    <x v="0"/>
    <x v="0"/>
    <x v="0"/>
    <x v="0"/>
    <x v="0"/>
    <x v="0"/>
    <x v="0"/>
    <x v="0"/>
    <x v="0"/>
    <x v="0"/>
    <x v="0"/>
    <x v="0"/>
    <x v="0"/>
    <x v="0"/>
    <x v="0"/>
    <x v="0"/>
    <x v="0"/>
    <x v="0"/>
    <x v="0"/>
    <x v="0"/>
    <x v="0"/>
    <x v="2"/>
    <x v="0"/>
    <x v="0"/>
    <x v="0"/>
    <x v="0"/>
    <x v="0"/>
    <x v="0"/>
    <x v="0"/>
    <m/>
    <s v="Domum + 2 pratum + ortum + terram + creysementum"/>
    <m/>
    <m/>
    <s v="Devesset"/>
    <n v="1"/>
    <n v="0"/>
    <n v="0"/>
    <n v="0"/>
    <n v="0"/>
    <n v="1"/>
    <n v="0"/>
    <n v="0"/>
    <n v="0"/>
    <n v="0"/>
    <n v="0"/>
    <n v="0"/>
    <n v="1"/>
    <n v="0.33333333333333331"/>
    <n v="0"/>
    <n v="0"/>
    <n v="0"/>
    <n v="0"/>
    <n v="0"/>
    <n v="0"/>
    <n v="0"/>
    <n v="0"/>
    <n v="0"/>
    <n v="0"/>
    <s v="Domum, ortum &amp; terram + pratum &amp; creysementum + pratum"/>
    <n v="1"/>
    <n v="0"/>
    <n v="0"/>
    <n v="0"/>
    <n v="0"/>
    <m/>
    <s v="Toussaint"/>
    <m/>
    <m/>
    <s v="Devesset, in turre supors portam"/>
    <s v="Girandus Girandi de Pulinaco"/>
    <s v="Petro Girardi clerico"/>
    <s v="Johanne Sabaterii"/>
    <s v="Al' Chambo"/>
    <m/>
    <m/>
    <m/>
  </r>
  <r>
    <n v="1542"/>
    <m/>
    <s v="Vitalis"/>
    <s v="Ambayserii"/>
    <x v="63"/>
    <s v="Sive de Las Sanholas"/>
    <m/>
    <m/>
    <s v="H"/>
    <n v="1343"/>
    <m/>
    <s v="Die Sabati in festo Beati Johannis Evvangeliste"/>
    <s v="Raynaud de Fay"/>
    <m/>
    <x v="0"/>
    <m/>
    <m/>
    <m/>
    <m/>
    <m/>
    <m/>
    <m/>
    <x v="0"/>
    <x v="0"/>
    <x v="0"/>
    <x v="0"/>
    <x v="0"/>
    <x v="0"/>
    <x v="0"/>
    <x v="1"/>
    <x v="0"/>
    <x v="0"/>
    <x v="0"/>
    <s v="Non"/>
    <x v="0"/>
    <x v="0"/>
    <x v="0"/>
    <x v="0"/>
    <x v="0"/>
    <x v="0"/>
    <x v="0"/>
    <x v="0"/>
    <x v="0"/>
    <x v="0"/>
    <x v="3"/>
    <x v="0"/>
    <x v="0"/>
    <x v="0"/>
    <x v="0"/>
    <x v="0"/>
    <x v="0"/>
    <x v="0"/>
    <x v="0"/>
    <x v="0"/>
    <x v="0"/>
    <x v="0"/>
    <x v="0"/>
    <x v="0"/>
    <x v="0"/>
    <x v="0"/>
    <x v="0"/>
    <x v="0"/>
    <x v="0"/>
    <x v="0"/>
    <m/>
    <s v="Partem coste"/>
    <m/>
    <m/>
    <m/>
    <n v="0"/>
    <n v="0"/>
    <n v="0"/>
    <n v="0"/>
    <n v="0"/>
    <n v="0"/>
    <n v="0"/>
    <n v="0"/>
    <n v="0"/>
    <n v="0"/>
    <n v="0"/>
    <n v="0"/>
    <n v="0"/>
    <n v="0"/>
    <n v="0"/>
    <n v="0"/>
    <n v="0"/>
    <n v="0"/>
    <n v="0"/>
    <n v="0"/>
    <n v="0"/>
    <n v="0"/>
    <n v="0"/>
    <n v="0"/>
    <s v="Partem coste"/>
    <n v="0.33333333333333331"/>
    <n v="0"/>
    <n v="0"/>
    <n v="0"/>
    <n v="0"/>
    <m/>
    <s v="Toussaint"/>
    <m/>
    <m/>
    <s v="Devesset, sub estra"/>
    <s v="Girandus Girandi de Pulinaco"/>
    <s v="Poncio Boteira domicelli"/>
    <s v="Poncio Meruli clerico"/>
    <m/>
    <m/>
    <m/>
    <m/>
  </r>
  <r>
    <n v="1571"/>
    <s v="Marge illisible"/>
    <s v="Guillermis"/>
    <s v="Fonteti"/>
    <x v="63"/>
    <m/>
    <m/>
    <s v="Nomine Jacmete uxoris sue"/>
    <s v="H"/>
    <n v="1342"/>
    <s v="Février"/>
    <n v="19"/>
    <s v="Raynaud de Fay"/>
    <s v="Mulier-licgia, justitabilis et expletabilis"/>
    <x v="0"/>
    <s v="Non"/>
    <s v="Oui"/>
    <s v="Oui"/>
    <s v="Oui"/>
    <s v="Non"/>
    <s v="Avec bœufs et animaux"/>
    <s v="Constractus emphiteotarii"/>
    <x v="3"/>
    <x v="4"/>
    <x v="1"/>
    <x v="0"/>
    <x v="0"/>
    <x v="0"/>
    <x v="4"/>
    <x v="1"/>
    <x v="0"/>
    <x v="0"/>
    <x v="0"/>
    <s v="Non"/>
    <x v="0"/>
    <x v="0"/>
    <x v="0"/>
    <x v="0"/>
    <x v="0"/>
    <x v="0"/>
    <x v="0"/>
    <x v="12"/>
    <x v="0"/>
    <x v="0"/>
    <x v="0"/>
    <x v="0"/>
    <x v="0"/>
    <x v="0"/>
    <x v="0"/>
    <x v="0"/>
    <x v="0"/>
    <x v="0"/>
    <x v="0"/>
    <x v="0"/>
    <x v="0"/>
    <x v="0"/>
    <x v="0"/>
    <x v="0"/>
    <x v="0"/>
    <x v="0"/>
    <x v="0"/>
    <x v="0"/>
    <x v="0"/>
    <x v="0"/>
    <m/>
    <s v="Domum + ortum + 6 petiam + possessiones + pratum + pasturale"/>
    <s v="Territorio et loco de la Valeta"/>
    <s v="Femme"/>
    <s v="Devesset"/>
    <n v="0.2"/>
    <n v="0"/>
    <n v="0"/>
    <n v="0"/>
    <n v="0"/>
    <n v="0"/>
    <n v="1"/>
    <n v="1"/>
    <n v="0"/>
    <n v="0"/>
    <n v="0"/>
    <n v="0"/>
    <n v="0"/>
    <n v="0.5"/>
    <n v="0"/>
    <n v="0"/>
    <n v="0"/>
    <n v="0"/>
    <n v="0"/>
    <n v="0"/>
    <n v="0"/>
    <n v="0"/>
    <n v="0"/>
    <n v="0"/>
    <m/>
    <n v="1.1666666666666667"/>
    <n v="0"/>
    <n v="0"/>
    <n v="0"/>
    <n v="0"/>
    <s v="Censu et talha + nemore"/>
    <s v="Toussaint"/>
    <s v="Mero et mixto imperio"/>
    <s v="In mandamento et de mendamento juridictione castri Devesseti"/>
    <s v="Devesset, in turre supra portam"/>
    <s v="Girandus Girandi de Pulinaco"/>
    <s v="Johanne de Malatrait"/>
    <s v="Vitale de Lapaslissa de Ruppe Paula"/>
    <m/>
    <m/>
    <m/>
    <m/>
  </r>
  <r>
    <n v="1751"/>
    <s v="Marge illisible"/>
    <s v="Caterina"/>
    <s v="Garaytona"/>
    <x v="63"/>
    <m/>
    <m/>
    <m/>
    <s v="F"/>
    <n v="1343"/>
    <s v="Mai"/>
    <n v="12"/>
    <s v="Raynaud de Fay"/>
    <s v="Mulier-licgia, justitabilis et expletabilis"/>
    <x v="0"/>
    <s v="Non"/>
    <s v="Oui"/>
    <s v="Oui"/>
    <s v="Oui"/>
    <s v="Non"/>
    <m/>
    <s v="Constractus emphiteotarii"/>
    <x v="3"/>
    <x v="2"/>
    <x v="2"/>
    <x v="0"/>
    <x v="0"/>
    <x v="0"/>
    <x v="1"/>
    <x v="0"/>
    <x v="0"/>
    <x v="0"/>
    <x v="0"/>
    <s v="Non"/>
    <x v="0"/>
    <x v="0"/>
    <x v="0"/>
    <x v="0"/>
    <x v="0"/>
    <x v="0"/>
    <x v="0"/>
    <x v="0"/>
    <x v="0"/>
    <x v="0"/>
    <x v="0"/>
    <x v="0"/>
    <x v="0"/>
    <x v="0"/>
    <x v="0"/>
    <x v="0"/>
    <x v="0"/>
    <x v="2"/>
    <x v="0"/>
    <x v="0"/>
    <x v="0"/>
    <x v="0"/>
    <x v="0"/>
    <x v="0"/>
    <x v="0"/>
    <x v="0"/>
    <x v="0"/>
    <x v="0"/>
    <x v="0"/>
    <x v="0"/>
    <m/>
    <s v="Domum + 2 partem orti + partem pasturali + partem prati + pratum +  pasturale + terram Creycensa prato + arboribus ibidem cressentibus"/>
    <m/>
    <m/>
    <s v="Devesset"/>
    <n v="0.5"/>
    <n v="0"/>
    <n v="0"/>
    <n v="0"/>
    <n v="0"/>
    <n v="0"/>
    <n v="1.5"/>
    <n v="0"/>
    <n v="0"/>
    <n v="0"/>
    <n v="0"/>
    <n v="0"/>
    <n v="0"/>
    <n v="1"/>
    <n v="0"/>
    <n v="0"/>
    <n v="0"/>
    <n v="0"/>
    <n v="0"/>
    <n v="0"/>
    <n v="0"/>
    <n v="0"/>
    <n v="0"/>
    <n v="0"/>
    <s v="Domum + Duos partarum ortarum + Partem prati et pasturali + Pratum et pasturale + terram + Creycensa prati et arboribus ibidem cressentibus"/>
    <n v="4.5"/>
    <n v="1.3333333333333333"/>
    <n v="0"/>
    <n v="0"/>
    <n v="0"/>
    <s v="Censu et talha"/>
    <s v="Toussaint"/>
    <m/>
    <m/>
    <s v="Devesset, in turre supra portam"/>
    <s v="Girandus Girandi de Pulinaco"/>
    <s v="Fratre Arnaudo de Aystrat"/>
    <s v="Petro Salvaynh sive Paulet"/>
    <m/>
    <m/>
    <m/>
    <m/>
  </r>
  <r>
    <n v="1831"/>
    <s v="Marge illisible"/>
    <s v="Johanneta"/>
    <s v="Ambayseyra"/>
    <x v="63"/>
    <m/>
    <m/>
    <m/>
    <s v="F"/>
    <n v="1343"/>
    <m/>
    <s v="Die Sabati in festo Beati Johannis Anthoni"/>
    <s v="Raynaud de Fay"/>
    <s v="Mulier-licgia"/>
    <x v="0"/>
    <s v="Non"/>
    <s v="Oui"/>
    <s v="Oui"/>
    <s v="Oui"/>
    <s v="Non"/>
    <m/>
    <s v="Constractus emphiteotarii"/>
    <x v="0"/>
    <x v="0"/>
    <x v="1"/>
    <x v="0"/>
    <x v="0"/>
    <x v="0"/>
    <x v="0"/>
    <x v="1"/>
    <x v="0"/>
    <x v="0"/>
    <x v="0"/>
    <s v="Non"/>
    <x v="0"/>
    <x v="3"/>
    <x v="0"/>
    <x v="0"/>
    <x v="0"/>
    <x v="0"/>
    <x v="0"/>
    <x v="0"/>
    <x v="0"/>
    <x v="0"/>
    <x v="0"/>
    <x v="0"/>
    <x v="0"/>
    <x v="0"/>
    <x v="0"/>
    <x v="0"/>
    <x v="0"/>
    <x v="0"/>
    <x v="0"/>
    <x v="0"/>
    <x v="0"/>
    <x v="0"/>
    <x v="0"/>
    <x v="0"/>
    <x v="0"/>
    <x v="0"/>
    <x v="0"/>
    <x v="0"/>
    <x v="2"/>
    <x v="0"/>
    <m/>
    <s v="Pratum + assensamentum + sanhassium"/>
    <m/>
    <m/>
    <s v="Devesset"/>
    <n v="0"/>
    <n v="0"/>
    <n v="0"/>
    <n v="0"/>
    <n v="0"/>
    <n v="0"/>
    <n v="1"/>
    <n v="0"/>
    <n v="0"/>
    <n v="0"/>
    <n v="0"/>
    <n v="0"/>
    <n v="0"/>
    <n v="4"/>
    <n v="0"/>
    <n v="0"/>
    <n v="0"/>
    <n v="0"/>
    <n v="0"/>
    <n v="0"/>
    <n v="0"/>
    <n v="0"/>
    <n v="0"/>
    <n v="0"/>
    <s v="Treisensiis + partem"/>
    <n v="9.5833333333333339"/>
    <n v="0"/>
    <n v="0"/>
    <n v="0"/>
    <n v="0.58333333333333337"/>
    <m/>
    <s v="Toussaint"/>
    <m/>
    <m/>
    <s v="Devesset, in turre supra portam"/>
    <s v="Girandus Girandi de Pulinaco"/>
    <s v="Fratre Johanne Meruli"/>
    <s v="Guigone Fores de Montelheto"/>
    <s v="Martino Pusart"/>
    <m/>
    <m/>
    <m/>
  </r>
  <r>
    <n v="1493"/>
    <m/>
    <s v="Jacobus"/>
    <s v="Chareira"/>
    <x v="71"/>
    <m/>
    <m/>
    <s v="Pro Mathei eius fratrem"/>
    <s v="H"/>
    <n v="1342"/>
    <s v="Février"/>
    <s v="?"/>
    <s v="Raynaud de Fay"/>
    <m/>
    <x v="0"/>
    <m/>
    <m/>
    <m/>
    <m/>
    <m/>
    <m/>
    <s v="Constractus emphiteotarii"/>
    <x v="0"/>
    <x v="0"/>
    <x v="4"/>
    <x v="0"/>
    <x v="0"/>
    <x v="0"/>
    <x v="0"/>
    <x v="1"/>
    <x v="0"/>
    <x v="0"/>
    <x v="0"/>
    <s v="Non"/>
    <x v="0"/>
    <x v="0"/>
    <x v="0"/>
    <x v="0"/>
    <x v="0"/>
    <x v="0"/>
    <x v="0"/>
    <x v="0"/>
    <x v="0"/>
    <x v="0"/>
    <x v="0"/>
    <x v="0"/>
    <x v="0"/>
    <x v="0"/>
    <x v="0"/>
    <x v="0"/>
    <x v="0"/>
    <x v="0"/>
    <x v="0"/>
    <x v="0"/>
    <x v="0"/>
    <x v="0"/>
    <x v="0"/>
    <x v="0"/>
    <x v="0"/>
    <x v="0"/>
    <x v="0"/>
    <x v="0"/>
    <x v="0"/>
    <x v="0"/>
    <m/>
    <s v="2 pratum"/>
    <m/>
    <s v="Frère"/>
    <m/>
    <n v="0"/>
    <n v="0"/>
    <n v="0"/>
    <n v="0"/>
    <n v="0"/>
    <n v="0"/>
    <n v="0"/>
    <n v="0"/>
    <n v="0"/>
    <n v="0"/>
    <n v="0"/>
    <n v="0"/>
    <n v="0"/>
    <n v="0"/>
    <n v="0"/>
    <n v="0"/>
    <n v="0"/>
    <n v="0"/>
    <n v="0"/>
    <n v="0"/>
    <n v="0"/>
    <n v="0"/>
    <n v="0"/>
    <n v="0"/>
    <s v="Duarum prati"/>
    <n v="0.5"/>
    <n v="0"/>
    <n v="0"/>
    <n v="0"/>
    <n v="0"/>
    <m/>
    <s v="Toussaint"/>
    <m/>
    <m/>
    <s v="Devesset, in quoquina"/>
    <s v="Girandus Girandi de Pulinaco"/>
    <s v="Petro de Casalibus"/>
    <s v="Johanne Meruli"/>
    <s v="Petro Del Cros"/>
    <m/>
    <m/>
    <m/>
  </r>
  <r>
    <n v="1501"/>
    <m/>
    <s v="Johannes et Joheannes Guigonis + Peyrononis"/>
    <s v="De Villaloma + Nigris"/>
    <x v="71"/>
    <m/>
    <s v="Johannes et Johannes Guigonis consanguinei"/>
    <s v="Peyrononis nomine Valerie eius ucoris"/>
    <s v="G"/>
    <n v="1342"/>
    <s v="Février"/>
    <s v="?"/>
    <s v="Raynaud de Fay"/>
    <m/>
    <x v="0"/>
    <m/>
    <m/>
    <m/>
    <m/>
    <m/>
    <m/>
    <s v="Constractus emphiteotarii"/>
    <x v="0"/>
    <x v="0"/>
    <x v="10"/>
    <x v="0"/>
    <x v="0"/>
    <x v="0"/>
    <x v="0"/>
    <x v="1"/>
    <x v="0"/>
    <x v="0"/>
    <x v="0"/>
    <s v="Non"/>
    <x v="0"/>
    <x v="0"/>
    <x v="0"/>
    <x v="0"/>
    <x v="0"/>
    <x v="0"/>
    <x v="0"/>
    <x v="0"/>
    <x v="0"/>
    <x v="0"/>
    <x v="0"/>
    <x v="0"/>
    <x v="0"/>
    <x v="0"/>
    <x v="0"/>
    <x v="0"/>
    <x v="0"/>
    <x v="0"/>
    <x v="0"/>
    <x v="0"/>
    <x v="0"/>
    <x v="0"/>
    <x v="0"/>
    <x v="0"/>
    <x v="0"/>
    <x v="0"/>
    <x v="0"/>
    <x v="0"/>
    <x v="0"/>
    <x v="0"/>
    <m/>
    <s v="Medietatem prati"/>
    <m/>
    <s v="Sœur"/>
    <m/>
    <n v="0"/>
    <n v="0"/>
    <n v="0"/>
    <n v="0"/>
    <n v="0"/>
    <n v="0"/>
    <n v="0"/>
    <n v="0"/>
    <n v="0"/>
    <n v="0"/>
    <n v="0"/>
    <n v="0"/>
    <n v="0"/>
    <n v="0"/>
    <n v="0"/>
    <n v="0"/>
    <n v="0"/>
    <n v="0"/>
    <n v="0"/>
    <n v="0"/>
    <n v="0"/>
    <n v="0"/>
    <n v="0"/>
    <n v="0"/>
    <s v="Medietatem prati"/>
    <n v="1.0833333333333333"/>
    <n v="1"/>
    <n v="0"/>
    <n v="0"/>
    <n v="0"/>
    <m/>
    <s v="Toussaint"/>
    <m/>
    <m/>
    <s v="Devesset, in quoquina"/>
    <s v="Girandus Girandi de Pulinaco"/>
    <s v="Petro de Casalibus"/>
    <s v="Johanne Meruli"/>
    <s v="Petro Del Cros"/>
    <m/>
    <m/>
    <m/>
  </r>
  <r>
    <n v="1502"/>
    <m/>
    <s v="Luca"/>
    <s v="Ruelli"/>
    <x v="71"/>
    <m/>
    <s v="Filia Petri Ruelli de Villalonia condam"/>
    <m/>
    <s v="F"/>
    <n v="1342"/>
    <s v="Février"/>
    <s v="?"/>
    <s v="Raynaud de Fay"/>
    <m/>
    <x v="0"/>
    <m/>
    <m/>
    <m/>
    <m/>
    <m/>
    <m/>
    <s v="Constractus emphiteotarii"/>
    <x v="0"/>
    <x v="4"/>
    <x v="0"/>
    <x v="0"/>
    <x v="0"/>
    <x v="0"/>
    <x v="0"/>
    <x v="1"/>
    <x v="3"/>
    <x v="0"/>
    <x v="0"/>
    <s v="Non"/>
    <x v="0"/>
    <x v="0"/>
    <x v="0"/>
    <x v="0"/>
    <x v="0"/>
    <x v="0"/>
    <x v="0"/>
    <x v="0"/>
    <x v="0"/>
    <x v="0"/>
    <x v="0"/>
    <x v="0"/>
    <x v="0"/>
    <x v="0"/>
    <x v="0"/>
    <x v="0"/>
    <x v="0"/>
    <x v="0"/>
    <x v="0"/>
    <x v="0"/>
    <x v="0"/>
    <x v="0"/>
    <x v="0"/>
    <x v="0"/>
    <x v="0"/>
    <x v="0"/>
    <x v="0"/>
    <x v="0"/>
    <x v="0"/>
    <x v="0"/>
    <m/>
    <s v="Ortum + casale"/>
    <m/>
    <m/>
    <m/>
    <n v="0"/>
    <n v="0"/>
    <n v="0"/>
    <n v="0"/>
    <n v="0"/>
    <n v="0"/>
    <n v="0"/>
    <n v="0"/>
    <n v="0"/>
    <n v="0"/>
    <n v="0"/>
    <n v="0"/>
    <n v="0"/>
    <n v="0"/>
    <n v="0"/>
    <n v="0"/>
    <n v="0"/>
    <n v="0"/>
    <n v="0"/>
    <n v="0"/>
    <n v="0"/>
    <n v="0"/>
    <n v="0"/>
    <n v="0"/>
    <s v="Casale + ortum"/>
    <n v="0.25"/>
    <n v="0"/>
    <n v="0"/>
    <n v="0"/>
    <n v="0"/>
    <m/>
    <s v="Toussaint"/>
    <m/>
    <m/>
    <s v="Devesset, in quoquina"/>
    <s v="Girandus Girandi de Pulinaco"/>
    <s v="Petro de Casalibus"/>
    <s v="Johanne Meruli"/>
    <s v="Petro Del Cros"/>
    <m/>
    <m/>
    <m/>
  </r>
  <r>
    <n v="1441"/>
    <s v="Page dure à lire"/>
    <s v="Stephanis"/>
    <s v="De Viriderio"/>
    <x v="72"/>
    <s v="Parochie de Juliani in Valcancia"/>
    <m/>
    <m/>
    <s v="H"/>
    <n v="1345"/>
    <s v="Octobre"/>
    <n v="23"/>
    <s v="Raynaud de Fay"/>
    <m/>
    <x v="0"/>
    <m/>
    <m/>
    <m/>
    <m/>
    <m/>
    <m/>
    <m/>
    <x v="0"/>
    <x v="0"/>
    <x v="0"/>
    <x v="0"/>
    <x v="0"/>
    <x v="0"/>
    <x v="0"/>
    <x v="1"/>
    <x v="0"/>
    <x v="0"/>
    <x v="0"/>
    <s v="Non"/>
    <x v="0"/>
    <x v="0"/>
    <x v="0"/>
    <x v="0"/>
    <x v="0"/>
    <x v="0"/>
    <x v="0"/>
    <x v="0"/>
    <x v="0"/>
    <x v="0"/>
    <x v="0"/>
    <x v="0"/>
    <x v="0"/>
    <x v="0"/>
    <x v="0"/>
    <x v="0"/>
    <x v="0"/>
    <x v="0"/>
    <x v="0"/>
    <x v="0"/>
    <x v="0"/>
    <x v="0"/>
    <x v="0"/>
    <x v="0"/>
    <x v="0"/>
    <x v="0"/>
    <x v="0"/>
    <x v="0"/>
    <x v="0"/>
    <x v="0"/>
    <m/>
    <s v="Totum locum"/>
    <m/>
    <m/>
    <m/>
    <n v="0"/>
    <n v="0"/>
    <n v="0"/>
    <n v="0"/>
    <n v="0"/>
    <n v="0"/>
    <n v="0"/>
    <n v="0"/>
    <n v="0"/>
    <n v="0"/>
    <n v="0"/>
    <n v="0"/>
    <n v="0"/>
    <n v="0"/>
    <n v="0"/>
    <n v="0"/>
    <n v="0"/>
    <n v="0"/>
    <n v="0"/>
    <n v="0"/>
    <n v="0"/>
    <n v="0"/>
    <n v="0"/>
    <n v="0"/>
    <s v="Partem loci + totum locum"/>
    <n v="1.3333333333333333"/>
    <n v="0"/>
    <n v="0"/>
    <n v="0"/>
    <n v="0"/>
    <m/>
    <s v="Toussaint"/>
    <m/>
    <m/>
    <s v="Devesset, ante portam castri"/>
    <s v="Girandus Girandi de Pulinaco"/>
    <s v="Jacobo Fayni de Sabinariais"/>
    <s v="Bernardo de Sanna"/>
    <s v="Monidie de Flossac"/>
    <m/>
    <m/>
    <m/>
  </r>
  <r>
    <n v="1442"/>
    <m/>
    <s v="Girandus"/>
    <s v="De Viriderio"/>
    <x v="72"/>
    <s v="Parrochie Sancti Juliani in Valcanscia"/>
    <m/>
    <m/>
    <s v="H"/>
    <n v="1345"/>
    <s v="Octobre"/>
    <n v="23"/>
    <s v="Raynaud de Fay"/>
    <m/>
    <x v="0"/>
    <m/>
    <m/>
    <m/>
    <m/>
    <m/>
    <m/>
    <m/>
    <x v="2"/>
    <x v="0"/>
    <x v="0"/>
    <x v="0"/>
    <x v="0"/>
    <x v="0"/>
    <x v="0"/>
    <x v="1"/>
    <x v="0"/>
    <x v="0"/>
    <x v="0"/>
    <s v="Non"/>
    <x v="0"/>
    <x v="0"/>
    <x v="0"/>
    <x v="0"/>
    <x v="0"/>
    <x v="0"/>
    <x v="0"/>
    <x v="0"/>
    <x v="0"/>
    <x v="0"/>
    <x v="0"/>
    <x v="0"/>
    <x v="0"/>
    <x v="0"/>
    <x v="0"/>
    <x v="0"/>
    <x v="0"/>
    <x v="0"/>
    <x v="0"/>
    <x v="0"/>
    <x v="0"/>
    <x v="0"/>
    <x v="0"/>
    <x v="0"/>
    <x v="0"/>
    <x v="0"/>
    <x v="0"/>
    <x v="0"/>
    <x v="0"/>
    <x v="1"/>
    <m/>
    <m/>
    <m/>
    <m/>
    <m/>
    <n v="0"/>
    <n v="0"/>
    <n v="0"/>
    <n v="0"/>
    <n v="0"/>
    <n v="0"/>
    <n v="0"/>
    <n v="0"/>
    <n v="0"/>
    <n v="0"/>
    <n v="0"/>
    <n v="0"/>
    <n v="0"/>
    <n v="0"/>
    <n v="0"/>
    <n v="0"/>
    <n v="0"/>
    <n v="0"/>
    <n v="0"/>
    <n v="0"/>
    <n v="0"/>
    <n v="0"/>
    <n v="0"/>
    <n v="0"/>
    <s v="Partem loci"/>
    <n v="1.3333333333333333"/>
    <n v="0"/>
    <n v="0"/>
    <n v="0"/>
    <n v="0"/>
    <m/>
    <s v="Toussaint"/>
    <m/>
    <m/>
    <s v="Devesset, ante portam castri"/>
    <s v="Girandus Girandi de Pulinaco"/>
    <s v="Jacobo Fayni de Sabinariais"/>
    <s v="Bernardo de Sanna"/>
    <s v="Monidie de Flossac"/>
    <m/>
    <m/>
    <m/>
  </r>
  <r>
    <n v="1581"/>
    <m/>
    <s v="Michael"/>
    <s v="De la Fontetas"/>
    <x v="73"/>
    <s v="Habitator mansi de Vunha"/>
    <m/>
    <s v="Pro ac nomine Petri eius fratris"/>
    <s v="H"/>
    <n v="1342"/>
    <s v="Février"/>
    <n v="19"/>
    <s v="Raynaud de Fay"/>
    <s v="Homo-licgius, justitabilis et expletabilis"/>
    <x v="0"/>
    <s v="Non"/>
    <s v="Oui"/>
    <s v="Oui"/>
    <s v="Oui"/>
    <s v="Non"/>
    <s v="Avec bœufs et animaux"/>
    <s v="Constractus emphiteotarii"/>
    <x v="3"/>
    <x v="4"/>
    <x v="2"/>
    <x v="0"/>
    <x v="3"/>
    <x v="0"/>
    <x v="0"/>
    <x v="4"/>
    <x v="0"/>
    <x v="0"/>
    <x v="0"/>
    <s v="Non"/>
    <x v="0"/>
    <x v="0"/>
    <x v="0"/>
    <x v="0"/>
    <x v="0"/>
    <x v="0"/>
    <x v="0"/>
    <x v="2"/>
    <x v="0"/>
    <x v="0"/>
    <x v="0"/>
    <x v="0"/>
    <x v="0"/>
    <x v="0"/>
    <x v="0"/>
    <x v="0"/>
    <x v="0"/>
    <x v="0"/>
    <x v="0"/>
    <x v="0"/>
    <x v="0"/>
    <x v="0"/>
    <x v="0"/>
    <x v="2"/>
    <x v="0"/>
    <x v="0"/>
    <x v="0"/>
    <x v="0"/>
    <x v="0"/>
    <x v="1"/>
    <s v="Aquisivit a Laurenti de Montabonel cum prate sua"/>
    <s v="Domum + prati + 2 possessiones + Bessaam + petia"/>
    <m/>
    <s v="Frère"/>
    <s v="Devesset"/>
    <n v="0.5"/>
    <n v="0"/>
    <n v="0"/>
    <n v="1"/>
    <n v="0"/>
    <n v="0"/>
    <n v="0"/>
    <n v="1"/>
    <n v="0"/>
    <n v="0"/>
    <n v="0"/>
    <n v="0"/>
    <n v="0"/>
    <n v="1"/>
    <n v="1.5"/>
    <n v="1"/>
    <n v="0"/>
    <n v="0"/>
    <n v="0"/>
    <n v="0"/>
    <n v="0"/>
    <n v="0"/>
    <n v="0"/>
    <n v="0"/>
    <s v="Possessiones &amp; Bessaam + petiam + censu suo dela Las Putetas"/>
    <n v="6.083333333333333"/>
    <n v="0"/>
    <n v="0"/>
    <n v="0"/>
    <n v="0.16666666666666666"/>
    <s v="Censu, argenti et talhia"/>
    <s v="Toussaint"/>
    <s v="Mero et mixto imperio"/>
    <s v="In mandamento et de mendamento domus et castri Devesseti"/>
    <s v="Devesset, in turre supra portam"/>
    <s v="Girandus Girandi de Pulinaco"/>
    <s v="Peireto de Montabonel"/>
    <s v="Andree de Canaleta de Sancto Savatore"/>
    <m/>
    <m/>
    <m/>
    <m/>
  </r>
  <r>
    <m/>
    <m/>
    <m/>
    <m/>
    <x v="74"/>
    <m/>
    <m/>
    <m/>
    <m/>
    <m/>
    <m/>
    <m/>
    <m/>
    <m/>
    <x v="0"/>
    <m/>
    <m/>
    <m/>
    <m/>
    <m/>
    <m/>
    <m/>
    <x v="4"/>
    <x v="5"/>
    <x v="3"/>
    <x v="2"/>
    <x v="2"/>
    <x v="2"/>
    <x v="2"/>
    <x v="3"/>
    <x v="2"/>
    <x v="2"/>
    <x v="2"/>
    <m/>
    <x v="2"/>
    <x v="1"/>
    <x v="1"/>
    <x v="1"/>
    <x v="1"/>
    <x v="1"/>
    <x v="1"/>
    <x v="3"/>
    <x v="1"/>
    <x v="1"/>
    <x v="1"/>
    <x v="1"/>
    <x v="2"/>
    <x v="1"/>
    <x v="1"/>
    <x v="3"/>
    <x v="1"/>
    <x v="1"/>
    <x v="1"/>
    <x v="1"/>
    <x v="1"/>
    <x v="1"/>
    <x v="1"/>
    <x v="1"/>
    <x v="1"/>
    <x v="1"/>
    <x v="1"/>
    <x v="2"/>
    <x v="1"/>
    <x v="2"/>
    <m/>
    <m/>
    <m/>
    <m/>
    <m/>
    <n v="81.43154761904762"/>
    <m/>
    <m/>
    <m/>
    <m/>
    <m/>
    <m/>
    <m/>
    <m/>
    <m/>
    <m/>
    <m/>
    <m/>
    <m/>
    <m/>
    <m/>
    <m/>
    <m/>
    <m/>
    <m/>
    <m/>
    <m/>
    <m/>
    <m/>
    <m/>
    <m/>
    <m/>
    <m/>
    <m/>
    <m/>
    <m/>
    <m/>
    <m/>
    <m/>
    <m/>
    <m/>
    <m/>
    <m/>
    <m/>
    <m/>
    <m/>
    <m/>
  </r>
  <r>
    <m/>
    <m/>
    <m/>
    <m/>
    <x v="74"/>
    <m/>
    <m/>
    <m/>
    <m/>
    <m/>
    <m/>
    <m/>
    <m/>
    <m/>
    <x v="0"/>
    <m/>
    <m/>
    <m/>
    <m/>
    <m/>
    <m/>
    <m/>
    <x v="4"/>
    <x v="5"/>
    <x v="3"/>
    <x v="2"/>
    <x v="2"/>
    <x v="2"/>
    <x v="2"/>
    <x v="3"/>
    <x v="2"/>
    <x v="2"/>
    <x v="2"/>
    <m/>
    <x v="2"/>
    <x v="1"/>
    <x v="1"/>
    <x v="1"/>
    <x v="1"/>
    <x v="1"/>
    <x v="1"/>
    <x v="3"/>
    <x v="1"/>
    <x v="1"/>
    <x v="1"/>
    <x v="1"/>
    <x v="2"/>
    <x v="1"/>
    <x v="1"/>
    <x v="3"/>
    <x v="1"/>
    <x v="1"/>
    <x v="1"/>
    <x v="1"/>
    <x v="1"/>
    <x v="1"/>
    <x v="1"/>
    <x v="1"/>
    <x v="1"/>
    <x v="1"/>
    <x v="1"/>
    <x v="2"/>
    <x v="1"/>
    <x v="2"/>
    <m/>
    <m/>
    <m/>
    <m/>
    <m/>
    <m/>
    <m/>
    <m/>
    <m/>
    <m/>
    <m/>
    <m/>
    <m/>
    <m/>
    <m/>
    <m/>
    <m/>
    <m/>
    <m/>
    <m/>
    <m/>
    <m/>
    <m/>
    <m/>
    <m/>
    <m/>
    <m/>
    <m/>
    <m/>
    <m/>
    <m/>
    <m/>
    <m/>
    <m/>
    <m/>
    <m/>
    <m/>
    <m/>
    <m/>
    <m/>
    <m/>
    <m/>
    <m/>
    <m/>
    <m/>
    <m/>
    <m/>
  </r>
  <r>
    <m/>
    <m/>
    <m/>
    <m/>
    <x v="74"/>
    <m/>
    <m/>
    <m/>
    <m/>
    <m/>
    <m/>
    <m/>
    <m/>
    <m/>
    <x v="0"/>
    <m/>
    <m/>
    <m/>
    <m/>
    <m/>
    <m/>
    <m/>
    <x v="4"/>
    <x v="5"/>
    <x v="3"/>
    <x v="2"/>
    <x v="2"/>
    <x v="2"/>
    <x v="2"/>
    <x v="3"/>
    <x v="2"/>
    <x v="2"/>
    <x v="2"/>
    <m/>
    <x v="2"/>
    <x v="1"/>
    <x v="1"/>
    <x v="1"/>
    <x v="1"/>
    <x v="1"/>
    <x v="1"/>
    <x v="3"/>
    <x v="1"/>
    <x v="1"/>
    <x v="1"/>
    <x v="1"/>
    <x v="2"/>
    <x v="1"/>
    <x v="1"/>
    <x v="3"/>
    <x v="1"/>
    <x v="1"/>
    <x v="1"/>
    <x v="1"/>
    <x v="1"/>
    <x v="1"/>
    <x v="1"/>
    <x v="1"/>
    <x v="1"/>
    <x v="1"/>
    <x v="1"/>
    <x v="2"/>
    <x v="1"/>
    <x v="2"/>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x v="0"/>
  </r>
  <r>
    <x v="0"/>
  </r>
  <r>
    <x v="1"/>
  </r>
  <r>
    <x v="2"/>
  </r>
  <r>
    <x v="3"/>
  </r>
  <r>
    <x v="3"/>
  </r>
  <r>
    <x v="3"/>
  </r>
  <r>
    <x v="1"/>
  </r>
  <r>
    <x v="1"/>
  </r>
  <r>
    <x v="4"/>
  </r>
  <r>
    <x v="5"/>
  </r>
  <r>
    <x v="5"/>
  </r>
  <r>
    <x v="6"/>
  </r>
  <r>
    <x v="7"/>
  </r>
  <r>
    <x v="7"/>
  </r>
  <r>
    <x v="7"/>
  </r>
  <r>
    <x v="8"/>
  </r>
  <r>
    <x v="9"/>
  </r>
  <r>
    <x v="10"/>
  </r>
  <r>
    <x v="11"/>
  </r>
  <r>
    <x v="12"/>
  </r>
  <r>
    <x v="13"/>
  </r>
  <r>
    <x v="13"/>
  </r>
  <r>
    <x v="13"/>
  </r>
  <r>
    <x v="13"/>
  </r>
  <r>
    <x v="13"/>
  </r>
  <r>
    <x v="13"/>
  </r>
  <r>
    <x v="13"/>
  </r>
  <r>
    <x v="13"/>
  </r>
  <r>
    <x v="7"/>
  </r>
  <r>
    <x v="7"/>
  </r>
  <r>
    <x v="7"/>
  </r>
  <r>
    <x v="7"/>
  </r>
  <r>
    <x v="7"/>
  </r>
  <r>
    <x v="14"/>
  </r>
  <r>
    <x v="5"/>
  </r>
  <r>
    <x v="9"/>
  </r>
  <r>
    <x v="9"/>
  </r>
  <r>
    <x v="5"/>
  </r>
  <r>
    <x v="15"/>
  </r>
  <r>
    <x v="16"/>
  </r>
  <r>
    <x v="16"/>
  </r>
  <r>
    <x v="17"/>
  </r>
  <r>
    <x v="18"/>
  </r>
  <r>
    <x v="17"/>
  </r>
  <r>
    <x v="19"/>
  </r>
  <r>
    <x v="1"/>
  </r>
  <r>
    <x v="20"/>
  </r>
  <r>
    <x v="21"/>
  </r>
  <r>
    <x v="21"/>
  </r>
  <r>
    <x v="7"/>
  </r>
  <r>
    <x v="5"/>
  </r>
  <r>
    <x v="22"/>
  </r>
  <r>
    <x v="23"/>
  </r>
  <r>
    <x v="3"/>
  </r>
  <r>
    <x v="24"/>
  </r>
  <r>
    <x v="25"/>
  </r>
  <r>
    <x v="8"/>
  </r>
  <r>
    <x v="8"/>
  </r>
  <r>
    <x v="8"/>
  </r>
  <r>
    <x v="21"/>
  </r>
  <r>
    <x v="17"/>
  </r>
  <r>
    <x v="17"/>
  </r>
  <r>
    <x v="17"/>
  </r>
  <r>
    <x v="26"/>
  </r>
  <r>
    <x v="26"/>
  </r>
  <r>
    <x v="26"/>
  </r>
  <r>
    <x v="27"/>
  </r>
  <r>
    <x v="28"/>
  </r>
  <r>
    <x v="11"/>
  </r>
  <r>
    <x v="29"/>
  </r>
  <r>
    <x v="30"/>
  </r>
  <r>
    <x v="31"/>
  </r>
  <r>
    <x v="32"/>
  </r>
  <r>
    <x v="4"/>
  </r>
  <r>
    <x v="33"/>
  </r>
  <r>
    <x v="34"/>
  </r>
  <r>
    <x v="24"/>
  </r>
  <r>
    <x v="24"/>
  </r>
  <r>
    <x v="16"/>
  </r>
  <r>
    <x v="24"/>
  </r>
  <r>
    <x v="16"/>
  </r>
  <r>
    <x v="35"/>
  </r>
  <r>
    <x v="18"/>
  </r>
  <r>
    <x v="36"/>
  </r>
  <r>
    <x v="36"/>
  </r>
  <r>
    <x v="37"/>
  </r>
  <r>
    <x v="11"/>
  </r>
  <r>
    <x v="38"/>
  </r>
  <r>
    <x v="8"/>
  </r>
  <r>
    <x v="11"/>
  </r>
  <r>
    <x v="18"/>
  </r>
  <r>
    <x v="39"/>
  </r>
  <r>
    <x v="40"/>
  </r>
  <r>
    <x v="40"/>
  </r>
  <r>
    <x v="40"/>
  </r>
  <r>
    <x v="9"/>
  </r>
  <r>
    <x v="9"/>
  </r>
  <r>
    <x v="41"/>
  </r>
  <r>
    <x v="41"/>
  </r>
  <r>
    <x v="41"/>
  </r>
  <r>
    <x v="41"/>
  </r>
  <r>
    <x v="41"/>
  </r>
  <r>
    <x v="42"/>
  </r>
  <r>
    <x v="42"/>
  </r>
  <r>
    <x v="42"/>
  </r>
  <r>
    <x v="42"/>
  </r>
  <r>
    <x v="42"/>
  </r>
  <r>
    <x v="42"/>
  </r>
  <r>
    <x v="42"/>
  </r>
  <r>
    <x v="5"/>
  </r>
  <r>
    <x v="43"/>
  </r>
  <r>
    <x v="44"/>
  </r>
  <r>
    <x v="45"/>
  </r>
  <r>
    <x v="45"/>
  </r>
  <r>
    <x v="46"/>
  </r>
  <r>
    <x v="45"/>
  </r>
  <r>
    <x v="47"/>
  </r>
  <r>
    <x v="47"/>
  </r>
  <r>
    <x v="5"/>
  </r>
  <r>
    <x v="5"/>
  </r>
  <r>
    <x v="5"/>
  </r>
  <r>
    <x v="18"/>
  </r>
  <r>
    <x v="7"/>
  </r>
  <r>
    <x v="11"/>
  </r>
  <r>
    <x v="48"/>
  </r>
  <r>
    <x v="21"/>
  </r>
  <r>
    <x v="21"/>
  </r>
  <r>
    <x v="49"/>
  </r>
  <r>
    <x v="50"/>
  </r>
  <r>
    <x v="45"/>
  </r>
  <r>
    <x v="51"/>
  </r>
  <r>
    <x v="52"/>
  </r>
  <r>
    <x v="52"/>
  </r>
  <r>
    <x v="22"/>
  </r>
  <r>
    <x v="53"/>
  </r>
  <r>
    <x v="53"/>
  </r>
  <r>
    <x v="54"/>
  </r>
  <r>
    <x v="54"/>
  </r>
  <r>
    <x v="45"/>
  </r>
  <r>
    <x v="50"/>
  </r>
  <r>
    <x v="11"/>
  </r>
  <r>
    <x v="55"/>
  </r>
  <r>
    <x v="55"/>
  </r>
  <r>
    <x v="7"/>
  </r>
  <r>
    <x v="11"/>
  </r>
  <r>
    <x v="11"/>
  </r>
  <r>
    <x v="21"/>
  </r>
  <r>
    <x v="5"/>
  </r>
  <r>
    <x v="21"/>
  </r>
  <r>
    <x v="21"/>
  </r>
  <r>
    <x v="3"/>
  </r>
  <r>
    <x v="56"/>
  </r>
  <r>
    <x v="56"/>
  </r>
  <r>
    <x v="56"/>
  </r>
  <r>
    <x v="3"/>
  </r>
  <r>
    <x v="57"/>
  </r>
  <r>
    <x v="13"/>
  </r>
  <r>
    <x v="13"/>
  </r>
  <r>
    <x v="13"/>
  </r>
  <r>
    <x v="13"/>
  </r>
  <r>
    <x v="13"/>
  </r>
  <r>
    <x v="13"/>
  </r>
  <r>
    <x v="7"/>
  </r>
  <r>
    <x v="21"/>
  </r>
  <r>
    <x v="21"/>
  </r>
  <r>
    <x v="5"/>
  </r>
  <r>
    <x v="35"/>
  </r>
  <r>
    <x v="24"/>
  </r>
  <r>
    <x v="18"/>
  </r>
  <r>
    <x v="18"/>
  </r>
  <r>
    <x v="21"/>
  </r>
  <r>
    <x v="21"/>
  </r>
  <r>
    <x v="16"/>
  </r>
  <r>
    <x v="48"/>
  </r>
  <r>
    <x v="58"/>
  </r>
  <r>
    <x v="13"/>
  </r>
  <r>
    <x v="13"/>
  </r>
  <r>
    <x v="59"/>
  </r>
  <r>
    <x v="60"/>
  </r>
  <r>
    <x v="61"/>
  </r>
  <r>
    <x v="62"/>
  </r>
  <r>
    <x v="54"/>
  </r>
  <r>
    <x v="63"/>
  </r>
  <r>
    <x v="32"/>
  </r>
  <r>
    <x v="5"/>
  </r>
  <r>
    <x v="13"/>
  </r>
  <r>
    <x v="13"/>
  </r>
  <r>
    <x v="13"/>
  </r>
  <r>
    <x v="32"/>
  </r>
  <r>
    <x v="64"/>
  </r>
  <r>
    <x v="5"/>
  </r>
  <r>
    <x v="5"/>
  </r>
  <r>
    <x v="1"/>
  </r>
  <r>
    <x v="45"/>
  </r>
  <r>
    <x v="1"/>
  </r>
  <r>
    <x v="11"/>
  </r>
  <r>
    <x v="65"/>
  </r>
  <r>
    <x v="19"/>
  </r>
  <r>
    <x v="1"/>
  </r>
  <r>
    <x v="60"/>
  </r>
  <r>
    <x v="11"/>
  </r>
  <r>
    <x v="11"/>
  </r>
  <r>
    <x v="66"/>
  </r>
  <r>
    <x v="22"/>
  </r>
  <r>
    <x v="25"/>
  </r>
  <r>
    <x v="67"/>
  </r>
  <r>
    <x v="5"/>
  </r>
  <r>
    <x v="50"/>
  </r>
  <r>
    <x v="68"/>
  </r>
  <r>
    <x v="69"/>
  </r>
  <r>
    <x v="21"/>
  </r>
  <r>
    <x v="5"/>
  </r>
  <r>
    <x v="5"/>
  </r>
  <r>
    <x v="5"/>
  </r>
  <r>
    <x v="5"/>
  </r>
  <r>
    <x v="5"/>
  </r>
  <r>
    <x v="70"/>
  </r>
  <r>
    <x v="68"/>
  </r>
  <r>
    <x v="71"/>
  </r>
  <r>
    <x v="72"/>
  </r>
  <r>
    <x v="21"/>
  </r>
  <r>
    <x v="73"/>
  </r>
  <r>
    <x v="11"/>
  </r>
  <r>
    <x v="21"/>
  </r>
  <r>
    <x v="11"/>
  </r>
  <r>
    <x v="57"/>
  </r>
  <r>
    <x v="57"/>
  </r>
  <r>
    <x v="62"/>
  </r>
  <r>
    <x v="74"/>
  </r>
  <r>
    <x v="74"/>
  </r>
  <r>
    <x v="74"/>
  </r>
  <r>
    <x v="74"/>
  </r>
  <r>
    <x v="74"/>
  </r>
  <r>
    <x v="74"/>
  </r>
  <r>
    <x v="74"/>
  </r>
  <r>
    <x v="74"/>
  </r>
  <r>
    <x v="74"/>
  </r>
  <r>
    <x v="74"/>
  </r>
  <r>
    <x v="7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0">
  <r>
    <n v="581"/>
    <s v="Et 591"/>
    <s v="Gregorius"/>
    <s v="Albi"/>
    <s v="Mastortet"/>
    <m/>
    <s v="Filius emansipatus Durandi Albi Del Mastortet"/>
    <m/>
    <s v="H"/>
    <n v="1343"/>
    <x v="0"/>
    <n v="29"/>
    <s v="Raynaud de Fay"/>
    <s v="Homo-licgius, justitabilis et expletabilis"/>
    <s v="Talhabilis ad omnimodas voluntatis"/>
    <s v="Oui"/>
    <s v="Oui"/>
    <s v="Oui"/>
    <s v="Oui"/>
    <s v="Non"/>
    <s v="Avec bœufs et animaux"/>
    <s v="Contractus emphiteotitarii"/>
    <s v="Oui"/>
    <s v="Oui"/>
    <s v="Oui"/>
    <s v="Non"/>
    <s v="Oui"/>
    <s v="Non"/>
    <s v="Oui"/>
    <s v="Oui"/>
    <s v="Non"/>
    <s v="Non"/>
    <s v="Oui"/>
    <s v="Non"/>
    <n v="1"/>
    <s v="Non"/>
    <s v="Non"/>
    <s v="Non"/>
    <s v="Non"/>
    <s v="Oui"/>
    <n v="1"/>
    <s v="Oui"/>
    <s v="Non"/>
    <s v="Non"/>
    <s v="Non"/>
    <s v="Non"/>
    <s v="Non"/>
    <s v="Non"/>
    <s v="Non"/>
    <s v="Non"/>
    <s v="Non"/>
    <s v="Non"/>
    <s v="Non"/>
    <s v="Non"/>
    <s v="Non"/>
    <s v="Non"/>
    <s v="Non"/>
    <s v="Non"/>
    <s v="Non"/>
    <s v="Non"/>
    <s v="Non"/>
    <s v="Non"/>
    <s v="Non"/>
    <s v="Oui"/>
    <m/>
    <s v="31 éléments"/>
    <s v="Loco et territorio de Mastortet"/>
    <m/>
    <s v="Tence"/>
    <n v="2"/>
    <n v="0"/>
    <n v="0"/>
    <n v="0"/>
    <n v="0"/>
    <n v="0"/>
    <n v="17"/>
    <n v="-1"/>
    <n v="0"/>
    <n v="0"/>
    <n v="0"/>
    <n v="80.4375"/>
    <n v="0"/>
    <n v="0"/>
    <n v="0"/>
    <n v="0"/>
    <n v="0"/>
    <n v="0"/>
    <n v="0"/>
    <n v="0"/>
    <n v="0"/>
    <n v="0"/>
    <n v="0"/>
    <n v="0"/>
    <n v="0"/>
    <n v="0"/>
    <m/>
    <n v="22.5"/>
    <n v="0"/>
    <n v="0"/>
    <n v="0"/>
    <n v="22.5"/>
    <n v="0"/>
    <m/>
    <s v="Toussaint"/>
    <m/>
    <m/>
    <s v="Devesset, in turre supra portam"/>
    <s v="Girandus Girandi de Pulinaco"/>
    <s v="Dopnino de Las Ruschas"/>
    <s v="Petro de Las Ruschas"/>
    <s v="Michaele et Valentino de Las Ruschas"/>
    <m/>
    <m/>
    <m/>
  </r>
  <r>
    <n v="1371"/>
    <s v="Page dure à lire"/>
    <s v="Jacobus"/>
    <s v="Albi"/>
    <s v="Mastortet"/>
    <m/>
    <s v="Filius Petri Albi del Mastortet"/>
    <m/>
    <s v="H"/>
    <n v="1343"/>
    <x v="1"/>
    <n v="26"/>
    <s v="Raynaud de Fay"/>
    <s v="Homo-licgius, justitabilis et expletabilis"/>
    <s v="Talhabilis ad omnimodas voluntatis"/>
    <s v="Non"/>
    <s v="Oui"/>
    <s v="Oui"/>
    <s v="Oui"/>
    <s v="Non"/>
    <s v="Avec bœufs et animaux"/>
    <m/>
    <s v="Oui"/>
    <n v="1"/>
    <s v="Oui"/>
    <s v="Non"/>
    <s v="Non"/>
    <s v="Non"/>
    <n v="1"/>
    <n v="7"/>
    <s v="Non"/>
    <s v="Non"/>
    <s v="Non"/>
    <s v="Non"/>
    <s v="Non"/>
    <s v="Non"/>
    <s v="Non"/>
    <s v="Non"/>
    <s v="Non"/>
    <s v="Non"/>
    <s v="Non"/>
    <n v="3"/>
    <s v="Non"/>
    <s v="Non"/>
    <s v="Non"/>
    <s v="Non"/>
    <s v="Non"/>
    <s v="Non"/>
    <s v="Non"/>
    <s v="Non"/>
    <s v="Non"/>
    <s v="Non"/>
    <s v="Non"/>
    <s v="Non"/>
    <s v="Non"/>
    <s v="Non"/>
    <s v="Non"/>
    <s v="Non"/>
    <s v="Non"/>
    <s v="Non"/>
    <s v="Non"/>
    <s v="Non"/>
    <s v="Non"/>
    <s v="Non"/>
    <s v="Fin redevance pas lisible"/>
    <s v="2 domos + ortum + 7 terram + 3 petiam + 1 pasturala + prata"/>
    <m/>
    <m/>
    <s v="Tence"/>
    <n v="0"/>
    <n v="0"/>
    <n v="0"/>
    <n v="0"/>
    <n v="0"/>
    <n v="0"/>
    <n v="10"/>
    <n v="1"/>
    <n v="0"/>
    <n v="0"/>
    <n v="0"/>
    <n v="51.1875"/>
    <n v="0"/>
    <n v="0"/>
    <n v="0"/>
    <n v="0"/>
    <n v="0"/>
    <n v="0"/>
    <n v="0"/>
    <n v="0"/>
    <n v="0"/>
    <n v="0"/>
    <n v="0"/>
    <n v="0"/>
    <n v="0"/>
    <n v="0"/>
    <m/>
    <n v="0"/>
    <n v="0"/>
    <n v="0"/>
    <n v="0"/>
    <n v="0"/>
    <n v="0"/>
    <m/>
    <m/>
    <m/>
    <m/>
    <m/>
    <s v="Girandus Girandi de Pulinaco"/>
    <m/>
    <m/>
    <m/>
    <m/>
    <m/>
    <s v="In quadam compositione olim facta inter dominum aniciensis episcopum et domum Devesseti"/>
  </r>
  <r>
    <n v="1631"/>
    <m/>
    <s v="Bartholomeus"/>
    <s v="Alna"/>
    <s v="Sancto Agrippavio"/>
    <m/>
    <m/>
    <s v="Fratrum suorum"/>
    <s v="H"/>
    <n v="1343"/>
    <x v="0"/>
    <n v="4"/>
    <s v="Raynaud de Fay"/>
    <s v="Promisit esse fidelis tenementarius domus Devesseti"/>
    <m/>
    <m/>
    <m/>
    <m/>
    <m/>
    <m/>
    <m/>
    <s v="Constractus emphiteotarii"/>
    <s v="Non"/>
    <s v="Non"/>
    <n v="3.5"/>
    <s v="Non"/>
    <s v="Non"/>
    <s v="Non"/>
    <s v="Non"/>
    <s v="Oui"/>
    <s v="Non"/>
    <s v="Non"/>
    <s v="Non"/>
    <s v="Non"/>
    <s v="Non"/>
    <s v="Non"/>
    <s v="Non"/>
    <s v="Non"/>
    <s v="Non"/>
    <s v="Non"/>
    <s v="Non"/>
    <n v="0.5"/>
    <s v="Non"/>
    <s v="Non"/>
    <s v="Non"/>
    <s v="Non"/>
    <s v="Non"/>
    <s v="Non"/>
    <s v="Non"/>
    <s v="Non"/>
    <s v="Non"/>
    <s v="Non"/>
    <s v="Non"/>
    <s v="Non"/>
    <s v="Non"/>
    <s v="Non"/>
    <s v="Non"/>
    <s v="Non"/>
    <s v="Non"/>
    <s v="Non"/>
    <s v="Non"/>
    <s v="Non"/>
    <s v="Non"/>
    <s v="Non"/>
    <m/>
    <s v="2 medietatem petie terre + medietatem petie + 2 prati + 3 medietatem prati"/>
    <m/>
    <s v="Frères"/>
    <s v="Devesset"/>
    <n v="0"/>
    <n v="0"/>
    <n v="0"/>
    <n v="0"/>
    <n v="0"/>
    <n v="0"/>
    <n v="1"/>
    <n v="0"/>
    <n v="0"/>
    <n v="0"/>
    <n v="0"/>
    <n v="4.875"/>
    <n v="0"/>
    <n v="0"/>
    <n v="0"/>
    <n v="0"/>
    <n v="0"/>
    <n v="0"/>
    <n v="0"/>
    <n v="0"/>
    <n v="0"/>
    <n v="0"/>
    <n v="0"/>
    <n v="0"/>
    <n v="0"/>
    <n v="0"/>
    <m/>
    <n v="1"/>
    <n v="0"/>
    <n v="0"/>
    <n v="0"/>
    <n v="1"/>
    <n v="0"/>
    <m/>
    <s v="Toussaint"/>
    <s v="Mero et mixto imperio"/>
    <s v="De mandamento et de juridictione castri Devesseti"/>
    <s v="Devesset, in turre supra portam"/>
    <s v="Girandus Girandi de Pulinaco"/>
    <s v="Johanne Meruli"/>
    <s v="Vitale Comptoris"/>
    <s v="Mathei Morelli de Ruppepaula"/>
    <m/>
    <m/>
    <m/>
  </r>
  <r>
    <n v="1773"/>
    <m/>
    <s v="Vitalis"/>
    <s v="Alvernhasso"/>
    <s v="Devessetum"/>
    <m/>
    <m/>
    <m/>
    <s v="H"/>
    <n v="1343"/>
    <x v="2"/>
    <n v="8"/>
    <s v="Raynaud de Fay"/>
    <m/>
    <m/>
    <m/>
    <m/>
    <m/>
    <m/>
    <m/>
    <m/>
    <m/>
    <s v="Non"/>
    <s v="Non"/>
    <s v="Non"/>
    <s v="Non"/>
    <s v="Non"/>
    <s v="Non"/>
    <s v="Non"/>
    <s v="Non"/>
    <s v="Non"/>
    <s v="Non"/>
    <s v="Non"/>
    <s v="Non"/>
    <s v="Non"/>
    <s v="Non"/>
    <s v="Oui"/>
    <s v="Non"/>
    <s v="Non"/>
    <s v="Non"/>
    <s v="Non"/>
    <s v="Non"/>
    <s v="Non"/>
    <s v="Non"/>
    <s v="Non"/>
    <s v="Non"/>
    <s v="Non"/>
    <s v="Non"/>
    <s v="Non"/>
    <s v="Non"/>
    <s v="Non"/>
    <s v="Non"/>
    <s v="Non"/>
    <s v="Non"/>
    <s v="Non"/>
    <s v="Oui"/>
    <s v="Non"/>
    <s v="Non"/>
    <s v="Non"/>
    <s v="Non"/>
    <s v="Oui"/>
    <s v="Non"/>
    <s v="Non"/>
    <s v="Non"/>
    <m/>
    <s v="Levatam"/>
    <m/>
    <m/>
    <s v="Devesset"/>
    <n v="0"/>
    <n v="0"/>
    <n v="0"/>
    <n v="0"/>
    <n v="0"/>
    <n v="0"/>
    <n v="0"/>
    <n v="0"/>
    <n v="0"/>
    <n v="0"/>
    <n v="0"/>
    <n v="0"/>
    <n v="0"/>
    <n v="0"/>
    <n v="1"/>
    <n v="0"/>
    <n v="0"/>
    <n v="0"/>
    <n v="0"/>
    <n v="0"/>
    <n v="4.875"/>
    <n v="0"/>
    <n v="0"/>
    <n v="0"/>
    <n v="0"/>
    <n v="0"/>
    <m/>
    <n v="0"/>
    <n v="0"/>
    <n v="0"/>
    <n v="0"/>
    <n v="0"/>
    <n v="0"/>
    <m/>
    <s v="Toussaint"/>
    <m/>
    <m/>
    <s v="Saint-Agrève, ante domum Guigonis de Ponte"/>
    <s v="Girandus Girandi de Pulinaco"/>
    <s v="Gameno Verilhati"/>
    <s v="Durando Verilhati"/>
    <s v="Johanne Roerii"/>
    <m/>
    <m/>
    <m/>
  </r>
  <r>
    <n v="1542"/>
    <m/>
    <s v="Vitalis"/>
    <s v="Ambayserii"/>
    <s v="Villa Nova Devesseti"/>
    <s v="Sive de Las Sanholas"/>
    <m/>
    <m/>
    <s v="H"/>
    <n v="1343"/>
    <x v="2"/>
    <n v="27"/>
    <s v="Raynaud de Fay"/>
    <m/>
    <m/>
    <m/>
    <m/>
    <m/>
    <m/>
    <m/>
    <m/>
    <m/>
    <s v="Non"/>
    <s v="Non"/>
    <s v="Non"/>
    <s v="Non"/>
    <s v="Non"/>
    <s v="Non"/>
    <s v="Non"/>
    <s v="Non"/>
    <s v="Non"/>
    <s v="Non"/>
    <s v="Non"/>
    <s v="Non"/>
    <s v="Non"/>
    <s v="Non"/>
    <s v="Non"/>
    <s v="Non"/>
    <s v="Non"/>
    <s v="Non"/>
    <s v="Non"/>
    <s v="Non"/>
    <s v="Non"/>
    <s v="Non"/>
    <s v="Oui"/>
    <s v="Non"/>
    <s v="Non"/>
    <s v="Non"/>
    <s v="Non"/>
    <s v="Non"/>
    <s v="Non"/>
    <s v="Non"/>
    <s v="Non"/>
    <s v="Non"/>
    <s v="Non"/>
    <s v="Non"/>
    <s v="Non"/>
    <s v="Non"/>
    <s v="Non"/>
    <s v="Non"/>
    <s v="Non"/>
    <s v="Non"/>
    <s v="Non"/>
    <s v="Non"/>
    <m/>
    <s v="Partem coste"/>
    <m/>
    <m/>
    <m/>
    <n v="0"/>
    <n v="0"/>
    <n v="0"/>
    <n v="0"/>
    <n v="0"/>
    <n v="0"/>
    <n v="0"/>
    <n v="0"/>
    <n v="0"/>
    <n v="0"/>
    <n v="0"/>
    <n v="0"/>
    <n v="0"/>
    <n v="0"/>
    <n v="0"/>
    <n v="0"/>
    <n v="0"/>
    <n v="0"/>
    <n v="0"/>
    <n v="0"/>
    <n v="0"/>
    <n v="0"/>
    <n v="0"/>
    <n v="0"/>
    <n v="0"/>
    <n v="0"/>
    <s v="Partem coste"/>
    <n v="0.33333333333333331"/>
    <n v="0"/>
    <n v="0"/>
    <n v="0"/>
    <n v="0.33333333333333331"/>
    <n v="0"/>
    <m/>
    <s v="Toussaint"/>
    <m/>
    <m/>
    <s v="Devesset, sub estra"/>
    <s v="Girandus Girandi de Pulinaco"/>
    <s v="Poncio Boteira domicelli"/>
    <s v="Poncio Meruli clerico"/>
    <m/>
    <m/>
    <m/>
    <m/>
  </r>
  <r>
    <n v="1541"/>
    <m/>
    <s v="Vitalis"/>
    <s v="Ambayserii"/>
    <s v="Villa Nova Devesseti"/>
    <s v="Sive de Las Sanholas"/>
    <m/>
    <m/>
    <s v="H"/>
    <n v="1343"/>
    <x v="3"/>
    <n v="17"/>
    <s v="Raynaud de Fay"/>
    <s v="Homo-licgius, justitabilis et expletabilis"/>
    <m/>
    <s v="Non"/>
    <s v="Oui"/>
    <s v="Oui"/>
    <s v="Oui"/>
    <s v="Non"/>
    <s v="Avec bœufs et animaux"/>
    <s v="Constractus emphiteotarii"/>
    <n v="1"/>
    <n v="1"/>
    <n v="2"/>
    <s v="Non"/>
    <s v="Non"/>
    <s v="Non"/>
    <s v="Non"/>
    <n v="1"/>
    <s v="Non"/>
    <s v="Non"/>
    <s v="Non"/>
    <s v="Non"/>
    <s v="Non"/>
    <s v="Non"/>
    <s v="Non"/>
    <s v="Non"/>
    <s v="Non"/>
    <s v="Non"/>
    <s v="Non"/>
    <s v="Non"/>
    <s v="Non"/>
    <s v="Non"/>
    <s v="Non"/>
    <s v="Non"/>
    <s v="Non"/>
    <s v="Non"/>
    <s v="Non"/>
    <s v="Non"/>
    <s v="Non"/>
    <s v="Non"/>
    <s v="Non"/>
    <s v="Non"/>
    <s v="Non"/>
    <s v="Non"/>
    <n v="1"/>
    <s v="Non"/>
    <s v="Non"/>
    <s v="Non"/>
    <s v="Non"/>
    <s v="Non"/>
    <s v="Non"/>
    <s v="Non"/>
    <m/>
    <s v="Domum + 2 pratum + ortum + terram + creysementum"/>
    <m/>
    <m/>
    <s v="Devesset"/>
    <n v="1"/>
    <n v="0"/>
    <n v="0"/>
    <n v="0"/>
    <n v="0"/>
    <n v="1"/>
    <n v="0"/>
    <n v="0"/>
    <n v="0"/>
    <n v="0"/>
    <n v="0"/>
    <n v="19.5"/>
    <n v="0"/>
    <n v="1"/>
    <n v="0.33333333333333331"/>
    <n v="0"/>
    <n v="0"/>
    <n v="0"/>
    <n v="0"/>
    <n v="0"/>
    <n v="21.125"/>
    <n v="0"/>
    <n v="0"/>
    <n v="0"/>
    <n v="0"/>
    <n v="0"/>
    <s v="Domum, ortum &amp; terram + pratum &amp; creysementum + pratum"/>
    <n v="1"/>
    <n v="0"/>
    <n v="0"/>
    <n v="0"/>
    <n v="1"/>
    <n v="0"/>
    <m/>
    <s v="Toussaint"/>
    <m/>
    <m/>
    <s v="Devesset, in turre supors portam"/>
    <s v="Girandus Girandi de Pulinaco"/>
    <s v="Petro Girardi clerico"/>
    <s v="Johanne Sabaterii"/>
    <s v="Al' Chambo"/>
    <m/>
    <m/>
    <m/>
  </r>
  <r>
    <n v="1831"/>
    <s v="Marge illisible"/>
    <s v="Johanneta"/>
    <s v="Ambayseyra"/>
    <s v="Villa Nova Devesseti"/>
    <m/>
    <m/>
    <m/>
    <s v="F"/>
    <n v="1344"/>
    <x v="3"/>
    <n v="15"/>
    <s v="Raynaud de Fay"/>
    <s v="Mulier-licgia"/>
    <m/>
    <s v="Non"/>
    <s v="Oui"/>
    <s v="Oui"/>
    <s v="Oui"/>
    <s v="Non"/>
    <m/>
    <s v="Constractus emphiteotarii"/>
    <s v="Non"/>
    <s v="Non"/>
    <n v="1"/>
    <s v="Non"/>
    <s v="Non"/>
    <s v="Non"/>
    <s v="Non"/>
    <s v="Non"/>
    <s v="Non"/>
    <s v="Non"/>
    <s v="Non"/>
    <s v="Non"/>
    <s v="Non"/>
    <n v="1"/>
    <s v="Non"/>
    <s v="Non"/>
    <s v="Non"/>
    <s v="Non"/>
    <s v="Non"/>
    <s v="Non"/>
    <s v="Non"/>
    <s v="Non"/>
    <s v="Non"/>
    <s v="Non"/>
    <s v="Non"/>
    <s v="Non"/>
    <s v="Non"/>
    <s v="Non"/>
    <s v="Non"/>
    <s v="Non"/>
    <s v="Non"/>
    <s v="Non"/>
    <s v="Non"/>
    <s v="Non"/>
    <s v="Non"/>
    <s v="Non"/>
    <s v="Non"/>
    <s v="Non"/>
    <s v="Non"/>
    <s v="Non"/>
    <n v="1"/>
    <s v="Non"/>
    <m/>
    <s v="Pratum + assensamentum + sanhassium"/>
    <m/>
    <m/>
    <s v="Devesset"/>
    <n v="0"/>
    <n v="0"/>
    <n v="0"/>
    <n v="0"/>
    <n v="0"/>
    <n v="0"/>
    <n v="1"/>
    <n v="0"/>
    <n v="0"/>
    <n v="0"/>
    <n v="0"/>
    <n v="4.875"/>
    <n v="0"/>
    <n v="0"/>
    <n v="4"/>
    <n v="0"/>
    <n v="0"/>
    <n v="0"/>
    <n v="0"/>
    <n v="0"/>
    <n v="19.5"/>
    <n v="0"/>
    <n v="0"/>
    <n v="0"/>
    <n v="0"/>
    <n v="0"/>
    <s v="Treisensiis + partem"/>
    <n v="9.5833333333333339"/>
    <n v="0"/>
    <n v="0"/>
    <n v="0"/>
    <n v="9.5833333333333339"/>
    <n v="0.58333333333333337"/>
    <m/>
    <s v="Toussaint"/>
    <m/>
    <m/>
    <s v="Devesset, in turre supra portam"/>
    <s v="Girandus Girandi de Pulinaco"/>
    <s v="Fratre Johanne Meruli"/>
    <s v="Guigone Fores de Montelheto"/>
    <s v="Martino Pusart"/>
    <m/>
    <m/>
    <m/>
  </r>
  <r>
    <n v="1832"/>
    <s v="Marge illisible"/>
    <s v="Guillermus"/>
    <s v="Ariberii"/>
    <s v="Sancto Agrippavio"/>
    <m/>
    <s v="Magistri notarii regi"/>
    <m/>
    <s v="H"/>
    <n v="1345"/>
    <x v="4"/>
    <n v="24"/>
    <s v="Raynaud de Fay"/>
    <m/>
    <m/>
    <m/>
    <m/>
    <m/>
    <m/>
    <m/>
    <m/>
    <s v="Constractus emphiteotarii"/>
    <s v="Non"/>
    <s v="Non"/>
    <n v="3"/>
    <s v="Non"/>
    <n v="3"/>
    <s v="Non"/>
    <s v="Non"/>
    <s v="Oui"/>
    <s v="Non"/>
    <s v="Non"/>
    <s v="Non"/>
    <s v="Non"/>
    <s v="Non"/>
    <s v="Non"/>
    <s v="Non"/>
    <s v="Non"/>
    <s v="Non"/>
    <s v="Non"/>
    <s v="Non"/>
    <s v="Non"/>
    <s v="Non"/>
    <s v="Non"/>
    <s v="Non"/>
    <s v="Non"/>
    <s v="Non"/>
    <s v="Non"/>
    <s v="Non"/>
    <s v="Non"/>
    <s v="Non"/>
    <s v="Non"/>
    <s v="Non"/>
    <s v="Non"/>
    <s v="Non"/>
    <s v="Non"/>
    <s v="Non"/>
    <s v="Non"/>
    <s v="Non"/>
    <s v="Non"/>
    <s v="Non"/>
    <s v="Non"/>
    <s v="Non"/>
    <s v="Oui"/>
    <m/>
    <s v="3 nemus + 2 terra + terras + possessiones + 3 petie terram + 3 pratum + 2 partem plani"/>
    <m/>
    <m/>
    <m/>
    <n v="0"/>
    <n v="0"/>
    <n v="0"/>
    <n v="0"/>
    <n v="0"/>
    <n v="0"/>
    <n v="0"/>
    <n v="0"/>
    <n v="0"/>
    <n v="0"/>
    <n v="0"/>
    <n v="0"/>
    <n v="0"/>
    <n v="0"/>
    <n v="0"/>
    <n v="0"/>
    <n v="0"/>
    <n v="0"/>
    <n v="0"/>
    <n v="0"/>
    <n v="0"/>
    <n v="0"/>
    <n v="0"/>
    <n v="0"/>
    <n v="0"/>
    <n v="0"/>
    <m/>
    <n v="2.4166666666666665"/>
    <n v="1"/>
    <n v="0"/>
    <n v="0"/>
    <n v="2.458333333333333"/>
    <n v="0"/>
    <s v="Censu et talha"/>
    <s v="Toussaint"/>
    <m/>
    <m/>
    <s v="Devesset, in camera fratris Johannis Meruli"/>
    <s v="Girandus Girandi de Pulinaco"/>
    <s v="Martini de Ronerria perlutero"/>
    <s v="Fratre Johanne Meruli"/>
    <s v="Bertrando de Ruppe"/>
    <m/>
    <m/>
    <m/>
  </r>
  <r>
    <n v="1833"/>
    <m/>
    <s v="Guillermus"/>
    <s v="Ariberii"/>
    <s v="Sancto Agrippavio"/>
    <m/>
    <s v="Magistri notarii regi"/>
    <m/>
    <s v="H"/>
    <n v="1345"/>
    <x v="5"/>
    <m/>
    <s v="Raynaud de Fay"/>
    <m/>
    <m/>
    <m/>
    <m/>
    <m/>
    <m/>
    <m/>
    <m/>
    <s v="Constractus emphiteotarii"/>
    <s v="Non"/>
    <s v="Non"/>
    <s v="Non"/>
    <s v="Non"/>
    <n v="1"/>
    <s v="Non"/>
    <s v="Non"/>
    <n v="1"/>
    <s v="Non"/>
    <s v="Non"/>
    <s v="Non"/>
    <s v="Non"/>
    <s v="Non"/>
    <s v="Non"/>
    <s v="Non"/>
    <s v="Non"/>
    <s v="Non"/>
    <s v="Non"/>
    <s v="Non"/>
    <s v="Non"/>
    <s v="Non"/>
    <s v="Non"/>
    <s v="Non"/>
    <s v="Non"/>
    <s v="Non"/>
    <s v="Non"/>
    <s v="Non"/>
    <s v="Non"/>
    <s v="Non"/>
    <s v="Non"/>
    <s v="Non"/>
    <s v="Non"/>
    <s v="Non"/>
    <s v="Non"/>
    <s v="Non"/>
    <s v="Non"/>
    <s v="Non"/>
    <s v="Non"/>
    <s v="Non"/>
    <s v="Non"/>
    <s v="Non"/>
    <s v="Non"/>
    <m/>
    <s v="Nemus + terra"/>
    <m/>
    <m/>
    <m/>
    <n v="0"/>
    <n v="0"/>
    <n v="0"/>
    <n v="0"/>
    <n v="0"/>
    <n v="0"/>
    <n v="0"/>
    <n v="0"/>
    <n v="0"/>
    <n v="0"/>
    <n v="0"/>
    <n v="0"/>
    <n v="0"/>
    <n v="0"/>
    <n v="0"/>
    <n v="0"/>
    <n v="0"/>
    <n v="0"/>
    <n v="0"/>
    <n v="0"/>
    <n v="0"/>
    <n v="0"/>
    <n v="0"/>
    <n v="0"/>
    <n v="0"/>
    <n v="0"/>
    <s v="Terra et nemus"/>
    <n v="8.3333333333333329E-2"/>
    <n v="0"/>
    <n v="0"/>
    <n v="0"/>
    <n v="8.3333333333333329E-2"/>
    <n v="0"/>
    <m/>
    <m/>
    <m/>
    <m/>
    <s v="Devesset, sub estras"/>
    <s v="Girandus Girandi de Pulinaco"/>
    <s v="Mondono de Flassaco"/>
    <s v="Fratre Johanne Meruli"/>
    <m/>
    <m/>
    <m/>
    <m/>
  </r>
  <r>
    <n v="1861"/>
    <m/>
    <s v="Margaros"/>
    <s v="Asteyra"/>
    <s v="Flossac"/>
    <m/>
    <m/>
    <m/>
    <s v="F"/>
    <n v="1344"/>
    <x v="6"/>
    <n v="27"/>
    <s v="Raynaud de Fay"/>
    <s v="Promisit esse fidelis tenementarius domus Devesseti"/>
    <m/>
    <m/>
    <m/>
    <m/>
    <m/>
    <m/>
    <m/>
    <m/>
    <s v="Non"/>
    <s v="Non"/>
    <s v="Non"/>
    <s v="Non"/>
    <s v="Non"/>
    <s v="Non"/>
    <s v="Non"/>
    <s v="Non"/>
    <s v="Non"/>
    <s v="Non"/>
    <s v="Non"/>
    <s v="Non"/>
    <n v="1"/>
    <s v="Non"/>
    <s v="Non"/>
    <s v="Non"/>
    <s v="Non"/>
    <s v="Non"/>
    <s v="Non"/>
    <s v="Non"/>
    <s v="Non"/>
    <s v="Non"/>
    <s v="Non"/>
    <s v="Non"/>
    <s v="Non"/>
    <s v="Non"/>
    <s v="Non"/>
    <s v="Non"/>
    <s v="Non"/>
    <s v="Non"/>
    <s v="Non"/>
    <s v="Non"/>
    <s v="Non"/>
    <s v="Non"/>
    <s v="Non"/>
    <s v="Non"/>
    <s v="Non"/>
    <s v="Non"/>
    <s v="Non"/>
    <n v="1"/>
    <s v="Non"/>
    <s v="Non"/>
    <m/>
    <s v="Mansum + calmam"/>
    <m/>
    <m/>
    <s v="Devesset"/>
    <n v="0"/>
    <n v="0"/>
    <n v="0"/>
    <n v="0"/>
    <n v="0"/>
    <n v="0"/>
    <n v="7"/>
    <n v="0"/>
    <n v="0"/>
    <n v="0"/>
    <n v="0"/>
    <n v="34.125"/>
    <n v="0"/>
    <n v="0"/>
    <n v="0"/>
    <n v="1"/>
    <n v="0"/>
    <n v="0"/>
    <n v="0"/>
    <n v="0"/>
    <n v="2.4375"/>
    <n v="0"/>
    <n v="0"/>
    <n v="0"/>
    <n v="0"/>
    <n v="0"/>
    <m/>
    <n v="0"/>
    <n v="0"/>
    <n v="0"/>
    <n v="0"/>
    <n v="0"/>
    <n v="0"/>
    <m/>
    <s v="Toussaint"/>
    <m/>
    <m/>
    <s v="Devesset, in turre supra portam"/>
    <s v="Girandus Girandi de Pulinaco"/>
    <s v="Fratre Jacobo de Chalmetis Hospitalis"/>
    <s v="Johanne Cardan sive Sanhas de Chausilhac"/>
    <s v="Guonor de Villa Nova"/>
    <m/>
    <m/>
    <m/>
  </r>
  <r>
    <n v="731"/>
    <m/>
    <s v="Petrus"/>
    <s v="Aucelli"/>
    <s v="Chanclausa"/>
    <m/>
    <s v="Filius Guigone Aucelli"/>
    <s v="Pro eius uxoris"/>
    <s v="H"/>
    <n v="1343"/>
    <x v="6"/>
    <n v="13"/>
    <s v="Raynaud de Fay"/>
    <s v="Promisit esse fidelis tenementarius domus Devesseti"/>
    <m/>
    <m/>
    <m/>
    <m/>
    <m/>
    <m/>
    <m/>
    <s v="Contractus emphiteotitarii"/>
    <s v="Non"/>
    <s v="Non"/>
    <s v="Non"/>
    <s v="Non"/>
    <s v="Non"/>
    <s v="Non"/>
    <n v="1"/>
    <s v="Oui"/>
    <s v="Non"/>
    <s v="Non"/>
    <s v="Non"/>
    <s v="Non"/>
    <s v="Non"/>
    <s v="Non"/>
    <s v="Non"/>
    <s v="Non"/>
    <s v="Non"/>
    <s v="Non"/>
    <s v="Non"/>
    <s v="Non"/>
    <s v="Non"/>
    <s v="Non"/>
    <s v="Non"/>
    <s v="Non"/>
    <s v="Non"/>
    <s v="Non"/>
    <s v="Non"/>
    <s v="Non"/>
    <s v="Non"/>
    <s v="Non"/>
    <s v="Non"/>
    <s v="Non"/>
    <s v="Non"/>
    <s v="Non"/>
    <s v="Non"/>
    <s v="Non"/>
    <s v="Non"/>
    <s v="Non"/>
    <s v="Non"/>
    <s v="Non"/>
    <s v="Non"/>
    <s v="Non"/>
    <m/>
    <s v="Terre petia + pasturale"/>
    <m/>
    <s v="Femme"/>
    <s v="Fay"/>
    <n v="0"/>
    <n v="1"/>
    <n v="0"/>
    <n v="4.875"/>
    <n v="0"/>
    <n v="0"/>
    <n v="0"/>
    <n v="0"/>
    <n v="0"/>
    <n v="0"/>
    <n v="0"/>
    <n v="0"/>
    <n v="0"/>
    <n v="0"/>
    <n v="0"/>
    <n v="0"/>
    <n v="0"/>
    <n v="0"/>
    <n v="0"/>
    <n v="0"/>
    <n v="0"/>
    <n v="0"/>
    <n v="0"/>
    <n v="0"/>
    <n v="0"/>
    <n v="0"/>
    <m/>
    <n v="8.3333333333333329E-2"/>
    <n v="0"/>
    <n v="0"/>
    <n v="0"/>
    <n v="8.3333333333333329E-2"/>
    <n v="0"/>
    <m/>
    <s v="Toussaint"/>
    <m/>
    <s v="De juridictione castri Devesseti"/>
    <s v="Devesset, in turre supra portam"/>
    <s v="Girandus Girandi de Pulinaco"/>
    <s v="Fratre Johane Meruli"/>
    <s v="Eustachio de Quinteo clericus de Malagayta"/>
    <s v="Johane de Malagayta"/>
    <m/>
    <m/>
    <s v="In quadam compositione olim facta inter dominum aniciensis episcopum et domum Devesseti"/>
  </r>
  <r>
    <n v="821"/>
    <s v="Marge illisible"/>
    <s v="Johannes"/>
    <s v="Aucelli Dorba"/>
    <s v="Chanclausa"/>
    <s v="Parrochie de Chanclausa Aniciensis Diocesis"/>
    <m/>
    <m/>
    <s v="H"/>
    <n v="1343"/>
    <x v="7"/>
    <n v="29"/>
    <s v="Raynaud de Fay"/>
    <s v="Promisit esse fidelis tenementarius domus Devesseti"/>
    <m/>
    <m/>
    <m/>
    <m/>
    <m/>
    <m/>
    <m/>
    <s v="Contractus emphiteotitarii"/>
    <s v="Non"/>
    <s v="Non"/>
    <n v="3"/>
    <s v="Non"/>
    <s v="Non"/>
    <s v="Non"/>
    <s v="Non"/>
    <s v="Non"/>
    <s v="Non"/>
    <s v="Non"/>
    <s v="Non"/>
    <s v="Non"/>
    <s v="Non"/>
    <s v="Non"/>
    <s v="Non"/>
    <s v="Non"/>
    <s v="Non"/>
    <s v="Non"/>
    <s v="Non"/>
    <s v="Non"/>
    <s v="Non"/>
    <s v="Non"/>
    <s v="Non"/>
    <s v="Non"/>
    <s v="Non"/>
    <s v="Non"/>
    <s v="Non"/>
    <s v="Non"/>
    <s v="Non"/>
    <s v="Non"/>
    <s v="Non"/>
    <s v="Non"/>
    <s v="Non"/>
    <s v="Non"/>
    <s v="Non"/>
    <s v="Non"/>
    <s v="Non"/>
    <s v="Non"/>
    <s v="Non"/>
    <s v="Non"/>
    <s v="Non"/>
    <s v="Non"/>
    <s v="Censum anuum seu canone"/>
    <s v="3 pratum"/>
    <m/>
    <m/>
    <m/>
    <n v="0"/>
    <n v="0"/>
    <n v="0"/>
    <n v="0"/>
    <n v="0"/>
    <n v="0"/>
    <n v="0"/>
    <n v="0"/>
    <n v="0"/>
    <n v="0"/>
    <n v="0"/>
    <n v="0"/>
    <n v="0"/>
    <n v="0"/>
    <n v="0"/>
    <n v="0"/>
    <n v="0"/>
    <n v="0"/>
    <n v="0"/>
    <n v="0"/>
    <n v="0"/>
    <n v="0"/>
    <n v="0"/>
    <n v="0"/>
    <n v="0"/>
    <n v="0"/>
    <m/>
    <n v="0.25"/>
    <n v="0"/>
    <n v="0"/>
    <n v="0"/>
    <n v="0.25"/>
    <n v="0"/>
    <m/>
    <s v="Toussaint"/>
    <m/>
    <m/>
    <s v="Ville Neuve de Devesset, à côté de la maison de Johannis de Fonte"/>
    <s v="Girandus Girandi de Pulinaco"/>
    <s v="Fratre Johanne Meruli ordinis Hospitalis"/>
    <s v="Guillermo Passamar"/>
    <s v="Johannis Chanclausonis"/>
    <m/>
    <m/>
    <m/>
  </r>
  <r>
    <n v="1142"/>
    <m/>
    <s v="Stephanus"/>
    <s v="Austorgonis"/>
    <s v="Croseto Minoris"/>
    <m/>
    <m/>
    <m/>
    <s v="H"/>
    <n v="1343"/>
    <x v="2"/>
    <n v="1"/>
    <s v="Raynaud de Fay"/>
    <s v="Promisit esse fidelis et in' domus Devesseti"/>
    <m/>
    <m/>
    <m/>
    <m/>
    <m/>
    <m/>
    <m/>
    <s v="Constractus emphiteotarii"/>
    <s v="Non"/>
    <s v="Non"/>
    <n v="1"/>
    <s v="Non"/>
    <s v="Non"/>
    <s v="Non"/>
    <s v="Non"/>
    <s v="Oui"/>
    <s v="Non"/>
    <s v="Non"/>
    <s v="Non"/>
    <s v="Non"/>
    <s v="Non"/>
    <s v="Non"/>
    <s v="Non"/>
    <s v="Non"/>
    <s v="Non"/>
    <s v="Non"/>
    <s v="Non"/>
    <s v="Non"/>
    <s v="Non"/>
    <s v="Non"/>
    <s v="Non"/>
    <s v="Non"/>
    <s v="Non"/>
    <s v="Non"/>
    <s v="Non"/>
    <s v="Non"/>
    <s v="Non"/>
    <s v="Non"/>
    <s v="Non"/>
    <s v="Non"/>
    <s v="Non"/>
    <s v="Non"/>
    <s v="Non"/>
    <s v="Non"/>
    <s v="Non"/>
    <s v="Non"/>
    <s v="Non"/>
    <s v="Non"/>
    <s v="Non"/>
    <s v="Non"/>
    <m/>
    <s v="Petia terre trium meytenchadarum"/>
    <m/>
    <m/>
    <s v="Fay"/>
    <n v="0"/>
    <n v="0"/>
    <n v="0"/>
    <n v="0"/>
    <n v="0"/>
    <n v="0"/>
    <n v="0.5"/>
    <n v="0"/>
    <n v="0"/>
    <n v="0"/>
    <n v="0"/>
    <n v="2.4375"/>
    <n v="0"/>
    <n v="0"/>
    <n v="0"/>
    <n v="0"/>
    <n v="0"/>
    <n v="0"/>
    <n v="0"/>
    <n v="0"/>
    <n v="0"/>
    <n v="0"/>
    <n v="0"/>
    <n v="0"/>
    <n v="0"/>
    <n v="0"/>
    <m/>
    <n v="0.5"/>
    <n v="0"/>
    <n v="0"/>
    <n v="0"/>
    <n v="0.5"/>
    <n v="0"/>
    <m/>
    <s v="Toussaint"/>
    <m/>
    <m/>
    <s v="Saint-Agrève, in gramero Devesseti"/>
    <s v="Girandus Girandi de Pulinaco"/>
    <s v="Fratre Johanne Meruli"/>
    <s v="Guillermo la Fanria"/>
    <s v="Gregorie de Penite de Sancto Agrippavio"/>
    <m/>
    <m/>
    <m/>
  </r>
  <r>
    <n v="1126"/>
    <m/>
    <s v="Johannes"/>
    <s v="Ayglini"/>
    <s v="Gorgoras"/>
    <m/>
    <m/>
    <m/>
    <s v="H"/>
    <n v="1343"/>
    <x v="8"/>
    <n v="29"/>
    <s v="Raynaud de Fay"/>
    <m/>
    <m/>
    <m/>
    <m/>
    <m/>
    <m/>
    <m/>
    <m/>
    <m/>
    <m/>
    <m/>
    <m/>
    <m/>
    <m/>
    <m/>
    <m/>
    <m/>
    <m/>
    <m/>
    <m/>
    <m/>
    <m/>
    <m/>
    <m/>
    <m/>
    <m/>
    <m/>
    <m/>
    <m/>
    <m/>
    <m/>
    <m/>
    <m/>
    <m/>
    <m/>
    <m/>
    <m/>
    <m/>
    <m/>
    <m/>
    <m/>
    <m/>
    <m/>
    <m/>
    <m/>
    <m/>
    <m/>
    <m/>
    <m/>
    <m/>
    <m/>
    <m/>
    <m/>
    <m/>
    <m/>
    <s v="Pas mesure indiquée, mais probablement Borzezam"/>
    <n v="0"/>
    <n v="0"/>
    <n v="0"/>
    <n v="0"/>
    <n v="0"/>
    <n v="0"/>
    <n v="1"/>
    <n v="0"/>
    <n v="0"/>
    <n v="0"/>
    <n v="0"/>
    <n v="4.875"/>
    <n v="0"/>
    <n v="0"/>
    <n v="1"/>
    <n v="0"/>
    <n v="0"/>
    <n v="0"/>
    <n v="0"/>
    <n v="0"/>
    <n v="4.875"/>
    <n v="0"/>
    <n v="0"/>
    <n v="0"/>
    <n v="0"/>
    <n v="0"/>
    <m/>
    <n v="0.5"/>
    <n v="1"/>
    <n v="0"/>
    <n v="1"/>
    <n v="0.5625"/>
    <n v="0"/>
    <m/>
    <m/>
    <m/>
    <m/>
    <m/>
    <m/>
    <m/>
    <m/>
    <m/>
    <m/>
    <m/>
    <m/>
  </r>
  <r>
    <n v="1131"/>
    <m/>
    <s v="Girandis"/>
    <s v="Ayglini"/>
    <s v="Gorgoras"/>
    <m/>
    <m/>
    <m/>
    <s v="H"/>
    <n v="1343"/>
    <x v="8"/>
    <n v="29"/>
    <s v="Raynaud de Fay"/>
    <m/>
    <m/>
    <m/>
    <m/>
    <m/>
    <m/>
    <m/>
    <m/>
    <m/>
    <m/>
    <m/>
    <m/>
    <m/>
    <m/>
    <m/>
    <m/>
    <m/>
    <m/>
    <m/>
    <m/>
    <m/>
    <m/>
    <m/>
    <m/>
    <m/>
    <m/>
    <m/>
    <m/>
    <m/>
    <m/>
    <m/>
    <m/>
    <m/>
    <m/>
    <m/>
    <m/>
    <m/>
    <m/>
    <m/>
    <m/>
    <m/>
    <m/>
    <m/>
    <m/>
    <m/>
    <m/>
    <m/>
    <m/>
    <m/>
    <m/>
    <m/>
    <m/>
    <m/>
    <m/>
    <m/>
    <s v="Pas mesure indiquée, mais probablement Borzezam"/>
    <n v="0"/>
    <n v="0"/>
    <n v="0"/>
    <n v="0"/>
    <n v="0"/>
    <n v="0"/>
    <n v="0.16666666666666666"/>
    <n v="0"/>
    <n v="0"/>
    <n v="0"/>
    <n v="0"/>
    <n v="0.8125"/>
    <n v="0"/>
    <n v="0"/>
    <n v="0.16666666666666666"/>
    <n v="0"/>
    <n v="0"/>
    <n v="0"/>
    <n v="0"/>
    <n v="0"/>
    <n v="0.8125"/>
    <n v="0"/>
    <n v="0"/>
    <n v="0"/>
    <n v="0"/>
    <n v="0"/>
    <m/>
    <n v="8.3333333333333329E-2"/>
    <n v="0"/>
    <n v="0"/>
    <n v="1"/>
    <n v="0.10416666666666666"/>
    <n v="0"/>
    <m/>
    <m/>
    <m/>
    <m/>
    <m/>
    <m/>
    <m/>
    <m/>
    <m/>
    <m/>
    <m/>
    <m/>
  </r>
  <r>
    <n v="1132"/>
    <m/>
    <s v="Bertrandus"/>
    <s v="Ayglini"/>
    <s v="Gorgoras"/>
    <m/>
    <m/>
    <s v="Pro Anthonina eius uxor"/>
    <s v="H"/>
    <n v="1343"/>
    <x v="8"/>
    <n v="29"/>
    <s v="Raynaud de Fay"/>
    <m/>
    <m/>
    <m/>
    <m/>
    <m/>
    <m/>
    <m/>
    <m/>
    <m/>
    <m/>
    <m/>
    <m/>
    <m/>
    <m/>
    <m/>
    <m/>
    <m/>
    <m/>
    <m/>
    <m/>
    <m/>
    <m/>
    <m/>
    <m/>
    <m/>
    <m/>
    <m/>
    <m/>
    <m/>
    <m/>
    <m/>
    <m/>
    <m/>
    <m/>
    <m/>
    <m/>
    <m/>
    <m/>
    <m/>
    <m/>
    <m/>
    <m/>
    <m/>
    <m/>
    <m/>
    <m/>
    <m/>
    <m/>
    <m/>
    <m/>
    <m/>
    <m/>
    <m/>
    <m/>
    <s v="Sœur"/>
    <s v="Pas mesure indiquée, mais probablement Borzezam"/>
    <n v="0"/>
    <n v="0"/>
    <n v="0"/>
    <n v="0"/>
    <n v="0"/>
    <n v="0"/>
    <n v="0.5"/>
    <n v="0"/>
    <n v="0"/>
    <n v="0"/>
    <n v="0"/>
    <n v="2.4375"/>
    <n v="0"/>
    <n v="0"/>
    <n v="0.5"/>
    <n v="0"/>
    <n v="0"/>
    <n v="0"/>
    <n v="0"/>
    <n v="0"/>
    <n v="2.4375"/>
    <n v="0"/>
    <n v="0"/>
    <n v="0"/>
    <n v="0"/>
    <n v="0"/>
    <m/>
    <n v="0.25"/>
    <n v="1"/>
    <n v="0"/>
    <n v="0.5"/>
    <n v="0.30208333333333337"/>
    <n v="0"/>
    <m/>
    <m/>
    <m/>
    <m/>
    <m/>
    <m/>
    <m/>
    <m/>
    <m/>
    <m/>
    <m/>
    <m/>
  </r>
  <r>
    <n v="1291"/>
    <m/>
    <s v="Petrus"/>
    <s v="Aymarii Del Chaylar"/>
    <s v="Avenas"/>
    <m/>
    <m/>
    <m/>
    <s v="H"/>
    <n v="1343"/>
    <x v="2"/>
    <n v="10"/>
    <s v="Raynaud de Fay"/>
    <s v="Promisit esse fidelis domui Devesseti"/>
    <m/>
    <m/>
    <m/>
    <m/>
    <m/>
    <m/>
    <m/>
    <s v="Constractus emphiteotarii"/>
    <s v="Non"/>
    <s v="Non"/>
    <s v="Non"/>
    <s v="Non"/>
    <s v="Non"/>
    <s v="Non"/>
    <s v="Non"/>
    <n v="1"/>
    <s v="Non"/>
    <s v="Non"/>
    <s v="Non"/>
    <s v="Non"/>
    <s v="Non"/>
    <s v="Non"/>
    <s v="Non"/>
    <s v="Non"/>
    <s v="Non"/>
    <s v="Non"/>
    <s v="Non"/>
    <s v="Non"/>
    <s v="Non"/>
    <s v="Non"/>
    <s v="Non"/>
    <s v="Non"/>
    <s v="Non"/>
    <s v="Non"/>
    <s v="Non"/>
    <s v="Non"/>
    <s v="Non"/>
    <s v="Non"/>
    <s v="Non"/>
    <s v="Non"/>
    <s v="Non"/>
    <s v="Non"/>
    <s v="Non"/>
    <s v="Non"/>
    <s v="Non"/>
    <s v="Non"/>
    <s v="Non"/>
    <s v="Non"/>
    <s v="Non"/>
    <s v="Non"/>
    <m/>
    <s v="Petiam terre"/>
    <m/>
    <m/>
    <m/>
    <n v="0"/>
    <n v="0"/>
    <n v="0"/>
    <n v="0"/>
    <n v="0"/>
    <n v="0"/>
    <n v="0"/>
    <n v="0"/>
    <n v="0"/>
    <n v="0"/>
    <n v="0"/>
    <n v="0"/>
    <n v="0"/>
    <n v="0"/>
    <n v="0"/>
    <n v="0"/>
    <n v="0"/>
    <n v="0"/>
    <n v="0"/>
    <n v="0"/>
    <n v="0"/>
    <n v="0"/>
    <n v="0"/>
    <n v="0"/>
    <n v="0"/>
    <n v="0"/>
    <m/>
    <n v="0.25"/>
    <n v="0"/>
    <n v="0"/>
    <n v="0"/>
    <n v="0.25"/>
    <n v="0"/>
    <m/>
    <s v="Toussaint"/>
    <m/>
    <m/>
    <s v="Apud Avenas, in domo dicti Poncii"/>
    <s v="Girandus Girandi de Pulinaco"/>
    <s v="Fratre Johane Meruli"/>
    <s v="Guillermo Grosseti"/>
    <s v="Vitaloro filio Johannis Ruffi de Aymoneto de Sancto Agrippavio"/>
    <m/>
    <m/>
    <m/>
  </r>
  <r>
    <n v="1583"/>
    <m/>
    <s v="Petronilla"/>
    <s v="Balbi"/>
    <s v="La Vileta"/>
    <m/>
    <s v="Filia Staphani Balbi de la Vileta condam"/>
    <m/>
    <s v="F"/>
    <n v="1343"/>
    <x v="3"/>
    <n v="20"/>
    <s v="Raynaud de Fay"/>
    <s v="Mulier-licgia, justitabilis et expletabilis"/>
    <m/>
    <s v="Non"/>
    <s v="Oui"/>
    <s v="Non"/>
    <s v="Oui"/>
    <s v="Non"/>
    <m/>
    <s v="Constractus emphiteotarii"/>
    <s v="Non"/>
    <n v="1"/>
    <s v="Non"/>
    <s v="Non"/>
    <s v="Non"/>
    <s v="Non"/>
    <s v="Non"/>
    <s v="Non"/>
    <n v="1"/>
    <s v="Non"/>
    <s v="Non"/>
    <s v="Non"/>
    <s v="Non"/>
    <s v="Non"/>
    <s v="Non"/>
    <n v="1"/>
    <s v="Non"/>
    <s v="Non"/>
    <s v="Non"/>
    <n v="4"/>
    <s v="Non"/>
    <s v="Non"/>
    <s v="Non"/>
    <s v="Non"/>
    <s v="Non"/>
    <s v="Non"/>
    <s v="Non"/>
    <s v="Non"/>
    <s v="Non"/>
    <s v="Non"/>
    <s v="Non"/>
    <s v="Non"/>
    <s v="Non"/>
    <s v="Non"/>
    <s v="Non"/>
    <s v="Non"/>
    <s v="Non"/>
    <s v="Non"/>
    <s v="Non"/>
    <s v="Non"/>
    <s v="Non"/>
    <s v="Non"/>
    <m/>
    <s v="Casale + ouchiam + 4 pratam"/>
    <s v="Territorio de la Vileta"/>
    <m/>
    <s v="Devesset"/>
    <n v="0.16666666666666666"/>
    <n v="0"/>
    <n v="0"/>
    <n v="0"/>
    <n v="0"/>
    <n v="0"/>
    <n v="1"/>
    <n v="0"/>
    <n v="0"/>
    <n v="0"/>
    <n v="0"/>
    <n v="4.875"/>
    <n v="0"/>
    <n v="0"/>
    <n v="0.5"/>
    <n v="0"/>
    <n v="0"/>
    <n v="0"/>
    <n v="0"/>
    <n v="0"/>
    <n v="2.4375"/>
    <n v="0"/>
    <n v="0"/>
    <n v="0"/>
    <n v="0"/>
    <n v="0"/>
    <s v="Casale"/>
    <n v="1"/>
    <n v="0"/>
    <n v="0"/>
    <n v="0"/>
    <n v="1"/>
    <n v="0"/>
    <s v="Censu et talha"/>
    <s v="Toussaint"/>
    <s v="Mero et mixto imperio"/>
    <s v="De juridictione mandamentum et de mandamento castri Devesseti"/>
    <s v="Devesset, in turre supra portam"/>
    <s v="Girandus Girandi de Pulinaco"/>
    <s v="Anthonio Chambonis"/>
    <s v="Pascalono de Lartanda Villa Nova"/>
    <m/>
    <m/>
    <m/>
    <m/>
  </r>
  <r>
    <n v="1511"/>
    <s v="Page dure à lire"/>
    <s v="Johannes + ?"/>
    <s v="Barerii Dens Chazalet + De Chanils"/>
    <s v="Del Maset"/>
    <m/>
    <m/>
    <s v="Johannes de Chanils pro et nomine Johenette de Las Penas et etiam liberorum Bernardi de Las Penas condam"/>
    <s v="G"/>
    <n v="1342"/>
    <x v="3"/>
    <s v="?"/>
    <s v="Raynaud de Fay"/>
    <s v="Promisist esse fidelis domus Devesseti"/>
    <m/>
    <m/>
    <m/>
    <m/>
    <m/>
    <m/>
    <m/>
    <s v="Constractus emphiteotarii"/>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m/>
    <s v="Divers"/>
    <s v="Fay"/>
    <n v="0"/>
    <n v="0"/>
    <n v="0"/>
    <n v="0"/>
    <n v="2"/>
    <n v="0"/>
    <n v="0"/>
    <n v="0"/>
    <n v="0"/>
    <n v="0"/>
    <n v="0"/>
    <n v="78"/>
    <n v="0"/>
    <n v="0"/>
    <n v="0"/>
    <n v="0"/>
    <n v="1"/>
    <n v="0"/>
    <n v="0"/>
    <n v="0"/>
    <n v="9.75"/>
    <n v="0"/>
    <n v="0"/>
    <n v="0"/>
    <n v="0"/>
    <n v="0"/>
    <s v="Tenementum"/>
    <n v="0"/>
    <n v="0"/>
    <n v="0"/>
    <n v="0"/>
    <n v="0"/>
    <n v="0"/>
    <m/>
    <s v="Toussaint"/>
    <m/>
    <s v="De juridictione domus Devesseti"/>
    <s v="Devesset, in quoquina"/>
    <s v="Girandus Girandi de Pulinaco"/>
    <s v="Johanne Meruli"/>
    <s v="Johanne de Firnis"/>
    <s v="Nicholao de Firnis"/>
    <m/>
    <m/>
    <s v="Compositione olim facta inter domum Devesseti ex una parte et dominorum Devesseti ex altera"/>
  </r>
  <r>
    <n v="1472"/>
    <m/>
    <s v="Johanneta"/>
    <s v="Bartholomei"/>
    <s v="Ruppe"/>
    <m/>
    <s v="Filia Guillermi Bartholomei de Ruppe"/>
    <s v="Nomine Mathene eius uxoris (du père)"/>
    <s v="F"/>
    <n v="1342"/>
    <x v="3"/>
    <s v="?"/>
    <s v="Raynaud de Fay"/>
    <s v="Mulier-licgia, justitabilis et expletabilis"/>
    <m/>
    <s v="Non"/>
    <s v="Oui"/>
    <s v="Oui"/>
    <s v="Oui"/>
    <s v="Oui"/>
    <m/>
    <m/>
    <n v="1"/>
    <s v="Non"/>
    <n v="3"/>
    <s v="Non"/>
    <n v="2"/>
    <s v="Non"/>
    <s v="Non"/>
    <s v="Oui"/>
    <s v="Non"/>
    <s v="Non"/>
    <s v="Non"/>
    <s v="Non"/>
    <s v="Non"/>
    <s v="Non"/>
    <s v="Non"/>
    <s v="Non"/>
    <s v="Non"/>
    <s v="Oui"/>
    <s v="Non"/>
    <s v="Oui"/>
    <s v="Non"/>
    <s v="Non"/>
    <s v="Non"/>
    <s v="Non"/>
    <s v="Non"/>
    <s v="Non"/>
    <s v="Non"/>
    <s v="Non"/>
    <s v="Non"/>
    <s v="Non"/>
    <s v="Non"/>
    <s v="Non"/>
    <s v="Non"/>
    <s v="Non"/>
    <s v="Non"/>
    <s v="Non"/>
    <s v="Non"/>
    <s v="Non"/>
    <s v="Non"/>
    <s v="Non"/>
    <s v="Non"/>
    <s v="Non"/>
    <m/>
    <s v="Domum + 3 peatiae + 3 prati + 3 terrae + jus terram + 2 nemus + partem petia + partem patile"/>
    <m/>
    <s v="Belle-mère"/>
    <s v="Devesset"/>
    <n v="0.5"/>
    <n v="0"/>
    <n v="0"/>
    <n v="0"/>
    <n v="0"/>
    <n v="0"/>
    <n v="0"/>
    <n v="1"/>
    <n v="0"/>
    <n v="0.5"/>
    <n v="0"/>
    <n v="3.046875"/>
    <n v="0"/>
    <n v="0"/>
    <n v="0.5"/>
    <n v="0"/>
    <n v="0"/>
    <n v="0"/>
    <n v="0.5"/>
    <n v="0"/>
    <n v="3.046875"/>
    <n v="0"/>
    <n v="0"/>
    <n v="0"/>
    <n v="0"/>
    <n v="0"/>
    <s v="Censu de Pupart"/>
    <n v="2.1666666666666665"/>
    <n v="1"/>
    <n v="0.5"/>
    <n v="0"/>
    <n v="2.2187499999999996"/>
    <n v="0"/>
    <s v="Censu et talha"/>
    <m/>
    <s v="Mero et mixto imperio"/>
    <s v="De juridictione domus Devesseti"/>
    <m/>
    <m/>
    <m/>
    <m/>
    <m/>
    <m/>
    <m/>
    <m/>
  </r>
  <r>
    <n v="1411"/>
    <m/>
    <s v="Guillermus"/>
    <s v="Beals"/>
    <s v="Beal"/>
    <m/>
    <m/>
    <m/>
    <s v="H"/>
    <n v="1343"/>
    <x v="3"/>
    <n v="12"/>
    <s v="Raynaud de Fay"/>
    <s v="Homo-licgius, justitabilis et expletabilis"/>
    <m/>
    <s v="Non"/>
    <s v="Oui"/>
    <s v="Oui"/>
    <s v="Oui"/>
    <s v="Non"/>
    <s v="Avec bœufs et animaux"/>
    <m/>
    <s v="Oui"/>
    <s v="Oui"/>
    <s v="Oui"/>
    <s v="Oui"/>
    <n v="1"/>
    <s v="Non"/>
    <s v="Oui"/>
    <s v="Non"/>
    <s v="Non"/>
    <s v="Non"/>
    <s v="Non"/>
    <s v="Oui"/>
    <s v="Oui"/>
    <s v="Non"/>
    <s v="Non"/>
    <s v="Non"/>
    <s v="Non"/>
    <s v="Non"/>
    <s v="Non"/>
    <s v="Non"/>
    <s v="Non"/>
    <s v="Non"/>
    <s v="Non"/>
    <s v="Non"/>
    <n v="1"/>
    <s v="Non"/>
    <s v="Non"/>
    <s v="Non"/>
    <s v="Non"/>
    <s v="Non"/>
    <s v="Non"/>
    <s v="Non"/>
    <s v="Non"/>
    <s v="Non"/>
    <s v="Non"/>
    <s v="Non"/>
    <s v="Non"/>
    <s v="Non"/>
    <s v="Non"/>
    <s v="Non"/>
    <s v="Non"/>
    <s v="Non"/>
    <m/>
    <s v="Domos + ortos + tenementum + 3 prata + nemus + pastayracgium + perterum"/>
    <m/>
    <m/>
    <s v="Tence et Devesset"/>
    <n v="0"/>
    <n v="0"/>
    <n v="0"/>
    <n v="0"/>
    <n v="5"/>
    <n v="1"/>
    <n v="0"/>
    <n v="0"/>
    <n v="0"/>
    <n v="0"/>
    <n v="0"/>
    <n v="214.5"/>
    <n v="1"/>
    <n v="0"/>
    <n v="0"/>
    <n v="6"/>
    <n v="0"/>
    <n v="0"/>
    <n v="2"/>
    <n v="0"/>
    <n v="56.0625"/>
    <n v="0"/>
    <n v="0"/>
    <n v="0"/>
    <n v="0"/>
    <n v="0"/>
    <s v="Ortis + prata + nemus + calma + prix notaire"/>
    <n v="45.75"/>
    <n v="0"/>
    <n v="0"/>
    <n v="0"/>
    <n v="45.75"/>
    <n v="0"/>
    <m/>
    <s v="Toussaint"/>
    <s v="Mero et mixto imperio"/>
    <s v="De juridictione mandamento et in mandamentum castri Devesseti"/>
    <s v="Devesset, in turre supra portam"/>
    <s v="Girandus Girandi de Pulinaco"/>
    <s v="Guillermo Badelli sive Garaito"/>
    <s v="Matheo Morelli de Ruppe Paula"/>
    <m/>
    <m/>
    <m/>
    <m/>
  </r>
  <r>
    <n v="521"/>
    <m/>
    <s v="Gregorius"/>
    <s v="Berlhonis"/>
    <s v="Masalibrant"/>
    <m/>
    <s v="Filius Johanis Berlhonis condam"/>
    <s v="Nomine Laurenti Berlhonis et Martini Berlonis eius fratrini"/>
    <s v="H"/>
    <n v="1343"/>
    <x v="0"/>
    <n v="23"/>
    <s v="Raynaud de Fay"/>
    <s v="Homo-licgius, justitabilis et expletabilis"/>
    <s v="Talhabilis et expletabilis ad omnimodas voluntatis"/>
    <s v="Non"/>
    <s v="Oui"/>
    <s v="Oui"/>
    <s v="Oui"/>
    <s v="Non"/>
    <m/>
    <s v="Contractus emphiteotitarii"/>
    <s v="Oui"/>
    <s v="Oui"/>
    <s v="Oui"/>
    <s v="Oui"/>
    <s v="Oui"/>
    <s v="Oui"/>
    <s v="Oui"/>
    <s v="Non"/>
    <s v="Non"/>
    <s v="Non"/>
    <s v="Non"/>
    <s v="Oui"/>
    <s v="Non"/>
    <s v="Non"/>
    <s v="Non"/>
    <s v="Oui"/>
    <s v="Non"/>
    <s v="Non"/>
    <s v="Non"/>
    <s v="Non"/>
    <s v="Non"/>
    <s v="Non"/>
    <s v="Non"/>
    <s v="Non"/>
    <s v="Non"/>
    <s v="Non"/>
    <s v="Non"/>
    <s v="Non"/>
    <s v="Non"/>
    <s v="Non"/>
    <s v="Non"/>
    <s v="Non"/>
    <s v="Non"/>
    <s v="Non"/>
    <s v="Non"/>
    <s v="Non"/>
    <s v="Non"/>
    <s v="Non"/>
    <s v="Non"/>
    <s v="Non"/>
    <s v="Non"/>
    <s v="Oui"/>
    <m/>
    <m/>
    <s v="Loco, manso et territorio de Masalibrant"/>
    <s v="Frères"/>
    <s v="Tence"/>
    <n v="1"/>
    <n v="0"/>
    <n v="0"/>
    <n v="0"/>
    <n v="0"/>
    <n v="1"/>
    <n v="13"/>
    <n v="0"/>
    <n v="0"/>
    <n v="0"/>
    <n v="0"/>
    <n v="82.875"/>
    <n v="0"/>
    <n v="0"/>
    <n v="0"/>
    <n v="0"/>
    <n v="0"/>
    <n v="0"/>
    <n v="0"/>
    <n v="0"/>
    <n v="0"/>
    <n v="0"/>
    <n v="0"/>
    <n v="0"/>
    <n v="0"/>
    <n v="0"/>
    <m/>
    <n v="7.916666666666667"/>
    <n v="0"/>
    <n v="0"/>
    <n v="0"/>
    <n v="7.916666666666667"/>
    <n v="0"/>
    <m/>
    <s v="Toussaint"/>
    <m/>
    <s v="Domus Devesseti"/>
    <s v="Devesset, in turre supra portam"/>
    <s v="Girandus Girandi de Pulinaco"/>
    <s v="Egidio Blachonis"/>
    <s v="Johane Berlho"/>
    <s v="Petro Mola"/>
    <m/>
    <m/>
    <s v="In quadam compositione olim facta inter dominum aniciensis episcopum et domum Devesseti"/>
  </r>
  <r>
    <n v="1844"/>
    <m/>
    <s v="Marteta et Guillerma"/>
    <s v="Berlhonis"/>
    <s v="Masalibrant"/>
    <m/>
    <s v="Filie Michaelis Berlhonis de Masalibrant"/>
    <m/>
    <s v="GF"/>
    <n v="1345"/>
    <x v="9"/>
    <n v="11"/>
    <s v="Raynaud de Fay"/>
    <s v="Mulier-licgia, justitabilis et expletabilis"/>
    <m/>
    <s v="Non"/>
    <s v="Oui"/>
    <s v="Non"/>
    <s v="Non"/>
    <s v="Non"/>
    <m/>
    <m/>
    <n v="1"/>
    <s v="Oui"/>
    <s v="Non"/>
    <s v="Non"/>
    <s v="Oui"/>
    <s v="Non"/>
    <s v="Non"/>
    <s v="Non"/>
    <s v="Non"/>
    <s v="Non"/>
    <s v="Non"/>
    <s v="Non"/>
    <s v="Non"/>
    <s v="Non"/>
    <s v="Non"/>
    <s v="Non"/>
    <s v="Non"/>
    <s v="Non"/>
    <s v="Non"/>
    <s v="Non"/>
    <s v="Non"/>
    <s v="Non"/>
    <s v="Non"/>
    <s v="Non"/>
    <s v="Non"/>
    <s v="Non"/>
    <s v="Non"/>
    <s v="Non"/>
    <s v="Non"/>
    <s v="Non"/>
    <s v="Non"/>
    <s v="Non"/>
    <s v="Non"/>
    <s v="Non"/>
    <s v="Non"/>
    <s v="Non"/>
    <s v="Non"/>
    <s v="Non"/>
    <s v="Non"/>
    <s v="Non"/>
    <s v="Non"/>
    <s v="Oui"/>
    <m/>
    <s v="Domum"/>
    <s v="Loco et territorio de Masalibrant"/>
    <m/>
    <s v="Pas de mesure de céréale"/>
    <n v="0.1"/>
    <n v="0"/>
    <n v="0"/>
    <n v="0"/>
    <n v="0"/>
    <n v="0"/>
    <n v="1.5"/>
    <n v="0"/>
    <n v="0"/>
    <n v="0"/>
    <n v="0"/>
    <n v="7.3125"/>
    <n v="0"/>
    <n v="0"/>
    <n v="0.5"/>
    <n v="0"/>
    <n v="0"/>
    <n v="0"/>
    <n v="0"/>
    <n v="0"/>
    <n v="2.4375"/>
    <n v="0"/>
    <n v="0"/>
    <n v="0"/>
    <n v="0"/>
    <n v="0"/>
    <m/>
    <n v="0.83333333333333337"/>
    <n v="0"/>
    <n v="0"/>
    <n v="0"/>
    <n v="0.83333333333333337"/>
    <n v="0"/>
    <m/>
    <s v="Toussaint"/>
    <m/>
    <m/>
    <s v="Devesset, in camera Girandi Girandi de Pulinaco"/>
    <s v="Girandus Girandi de Pulinaco"/>
    <s v="Johanne de Mansodonoleto diacono"/>
    <s v="Johaneto filio Thome Chambonant"/>
    <m/>
    <m/>
    <m/>
    <m/>
  </r>
  <r>
    <n v="531"/>
    <m/>
    <s v="Johanis"/>
    <s v="Berlhos"/>
    <s v="Masalibrant"/>
    <m/>
    <s v="Filius Armandeti Berlhos condam"/>
    <m/>
    <s v="H"/>
    <n v="1343"/>
    <x v="0"/>
    <n v="23"/>
    <s v="Raynaud de Fay"/>
    <s v="Homo-licgius, justitabilis et expletabilis"/>
    <s v="Talhabilis ad omnimodas voluntatis"/>
    <s v="Non"/>
    <s v="Oui"/>
    <s v="Oui"/>
    <s v="Oui"/>
    <s v="Non"/>
    <s v="Avec bœufs et animaux"/>
    <s v="Contractus emphiteotitarii"/>
    <s v="Oui"/>
    <s v="Oui"/>
    <s v="Oui"/>
    <s v="Oui"/>
    <s v="Non"/>
    <s v="Oui"/>
    <s v="Oui"/>
    <s v="Non"/>
    <s v="Oui"/>
    <s v="Oui"/>
    <s v="Non"/>
    <s v="Oui"/>
    <s v="Non"/>
    <s v="Non"/>
    <s v="Non"/>
    <s v="Non"/>
    <s v="Non"/>
    <s v="Non"/>
    <s v="Non"/>
    <s v="Non"/>
    <s v="Non"/>
    <s v="Non"/>
    <s v="Non"/>
    <s v="Non"/>
    <s v="Non"/>
    <s v="Non"/>
    <s v="Non"/>
    <s v="Non"/>
    <s v="Non"/>
    <s v="Non"/>
    <s v="Non"/>
    <s v="Non"/>
    <s v="Non"/>
    <s v="Non"/>
    <s v="Non"/>
    <s v="Non"/>
    <s v="Non"/>
    <s v="Non"/>
    <s v="Non"/>
    <s v="Non"/>
    <s v="Non"/>
    <s v="Oui"/>
    <m/>
    <m/>
    <s v="Loco et territorio de Masalibrant"/>
    <m/>
    <s v="Tence"/>
    <n v="1"/>
    <n v="0"/>
    <n v="0"/>
    <n v="0"/>
    <n v="0"/>
    <n v="0"/>
    <n v="7"/>
    <n v="0"/>
    <n v="0"/>
    <n v="0"/>
    <n v="0"/>
    <n v="34.125"/>
    <n v="0"/>
    <n v="0"/>
    <n v="0.5"/>
    <n v="0"/>
    <n v="1"/>
    <n v="0"/>
    <n v="0"/>
    <n v="0"/>
    <n v="12.1875"/>
    <n v="0"/>
    <n v="0"/>
    <n v="0"/>
    <n v="0"/>
    <n v="0"/>
    <m/>
    <n v="4"/>
    <n v="-1"/>
    <n v="0"/>
    <n v="0"/>
    <n v="3.9583333333333335"/>
    <n v="0"/>
    <s v="Censu et talha"/>
    <s v="Toussaint"/>
    <m/>
    <m/>
    <s v="Devesset, in turre supra portam"/>
    <s v="Girandus Girandi de Pulinaco"/>
    <s v="Domino Johane Armandi presbitero"/>
    <s v="Bernardo de Ruppe clerico"/>
    <s v="Petro de Bonafonte"/>
    <m/>
    <m/>
    <m/>
  </r>
  <r>
    <n v="1843"/>
    <m/>
    <s v="Johanneta"/>
    <s v="Blachona"/>
    <s v="Masalibrant"/>
    <m/>
    <m/>
    <m/>
    <s v="F"/>
    <n v="1344"/>
    <x v="3"/>
    <n v="20"/>
    <s v="Raynaud de Fay"/>
    <s v="Mulier-licgia, justitabilis et expletabilis"/>
    <m/>
    <s v="Non"/>
    <s v="Oui"/>
    <s v="Oui"/>
    <s v="Oui"/>
    <s v="Non"/>
    <m/>
    <s v="Constractus emphiteotarii"/>
    <n v="1"/>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Manso et territorio de Masalibrant"/>
    <m/>
    <s v="Tence"/>
    <n v="0.25"/>
    <n v="0"/>
    <n v="0"/>
    <n v="0"/>
    <n v="0"/>
    <n v="1"/>
    <n v="0.5"/>
    <n v="0"/>
    <n v="0"/>
    <n v="0"/>
    <n v="0"/>
    <n v="21.9375"/>
    <n v="0"/>
    <n v="0"/>
    <n v="1.5"/>
    <n v="0"/>
    <n v="0"/>
    <n v="0"/>
    <n v="0"/>
    <n v="0"/>
    <n v="7.3125"/>
    <n v="0"/>
    <n v="0"/>
    <n v="0"/>
    <n v="0"/>
    <n v="0"/>
    <m/>
    <n v="1.5"/>
    <n v="1"/>
    <n v="0"/>
    <n v="0"/>
    <n v="1.5416666666666667"/>
    <n v="0"/>
    <m/>
    <s v="Toussaint"/>
    <m/>
    <m/>
    <s v="Devesset, in turre supra portam"/>
    <s v="Girandus Girandi de Pulinaco"/>
    <s v="Guillermo Blacha domicelli"/>
    <s v="Johannete Gasteo de Olenis"/>
    <m/>
    <m/>
    <m/>
    <m/>
  </r>
  <r>
    <n v="1842"/>
    <m/>
    <s v="Johannes"/>
    <s v="Blachonis"/>
    <s v="Masalibrant"/>
    <m/>
    <s v="Filius Jacmonis Blachonis de Masalibrant codam"/>
    <s v="Pro Michaelis eius fratre et Aprila eius sororis"/>
    <s v="H"/>
    <n v="1345"/>
    <x v="7"/>
    <n v="29"/>
    <s v="Raynaud de Fay"/>
    <s v="Homo-licgius"/>
    <m/>
    <s v="Non"/>
    <s v="Oui"/>
    <s v="Non"/>
    <s v="Oui"/>
    <s v="Non"/>
    <s v="Ad omnimodas voluntates"/>
    <s v="Constractus emphiteotarii"/>
    <s v="Oui"/>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os"/>
    <s v="Loco et territorio de Masalibrant"/>
    <s v="Frère et sœur"/>
    <s v="Tence"/>
    <n v="8.3333333333333329E-2"/>
    <n v="0"/>
    <n v="0"/>
    <n v="0"/>
    <n v="0"/>
    <n v="0"/>
    <n v="3.1666666666666665"/>
    <n v="0"/>
    <n v="0"/>
    <n v="0"/>
    <n v="0"/>
    <n v="15.4375"/>
    <n v="0"/>
    <n v="0"/>
    <n v="0.5"/>
    <n v="0"/>
    <n v="0"/>
    <n v="0"/>
    <n v="0"/>
    <n v="0"/>
    <n v="2.4375"/>
    <n v="0"/>
    <n v="0"/>
    <n v="0"/>
    <n v="0"/>
    <n v="0"/>
    <m/>
    <n v="1"/>
    <n v="1.3333333333333333"/>
    <n v="3"/>
    <m/>
    <n v="1.1180555555555556"/>
    <m/>
    <m/>
    <m/>
    <m/>
    <m/>
    <s v="Devesset, in camera Girandi Girandi de Pulinaco"/>
    <s v="Girandus Girandi de Pulinaco"/>
    <s v="Andree de Jalibertis"/>
    <s v="Laurentio de Croso"/>
    <s v="Andree eius fratrem"/>
    <m/>
    <m/>
    <m/>
  </r>
  <r>
    <n v="1841"/>
    <m/>
    <s v="Jacmeta"/>
    <s v="Blachonis"/>
    <s v="Masalibrant"/>
    <m/>
    <s v="Filia Jacmonis Blachonis de Masalibrant condam"/>
    <m/>
    <s v="F"/>
    <n v="1344"/>
    <x v="3"/>
    <n v="20"/>
    <s v="Raynaud de Fay"/>
    <s v="Mulier-licgia, justitabilis et expletabilis ad omnimodas voluntatis"/>
    <m/>
    <s v="Non"/>
    <s v="Oui"/>
    <s v="Oui"/>
    <s v="Oui"/>
    <s v="Non"/>
    <m/>
    <m/>
    <n v="1"/>
    <s v="Oui"/>
    <s v="Non"/>
    <s v="Oui"/>
    <s v="Non"/>
    <s v="Non"/>
    <s v="Non"/>
    <s v="Oui"/>
    <s v="Non"/>
    <s v="Non"/>
    <s v="Non"/>
    <s v="Non"/>
    <s v="Non"/>
    <s v="Non"/>
    <s v="Non"/>
    <s v="Non"/>
    <s v="Non"/>
    <s v="Non"/>
    <s v="Non"/>
    <s v="Non"/>
    <s v="Non"/>
    <s v="Non"/>
    <s v="Non"/>
    <s v="Non"/>
    <s v="Non"/>
    <s v="Non"/>
    <s v="Non"/>
    <s v="Non"/>
    <s v="Non"/>
    <s v="Non"/>
    <s v="Non"/>
    <s v="Non"/>
    <s v="Non"/>
    <s v="Non"/>
    <s v="Non"/>
    <s v="Non"/>
    <s v="Non"/>
    <s v="Non"/>
    <s v="Non"/>
    <s v="Non"/>
    <s v="Non"/>
    <s v="Non"/>
    <m/>
    <s v="Possessiones"/>
    <s v="Loco et territorio de Masalibrant"/>
    <m/>
    <s v="Tence"/>
    <n v="6.25E-2"/>
    <n v="0"/>
    <n v="0"/>
    <n v="0"/>
    <n v="0"/>
    <n v="0"/>
    <n v="1.125"/>
    <n v="0"/>
    <n v="0"/>
    <n v="0"/>
    <n v="0"/>
    <n v="5.484375"/>
    <n v="0"/>
    <n v="0"/>
    <n v="0.375"/>
    <n v="0"/>
    <n v="0"/>
    <n v="0"/>
    <n v="0"/>
    <n v="0"/>
    <n v="1.828125"/>
    <n v="0"/>
    <n v="0"/>
    <n v="0"/>
    <n v="0"/>
    <n v="0"/>
    <m/>
    <n v="0.33333333333333331"/>
    <n v="1.25"/>
    <n v="0"/>
    <n v="1"/>
    <n v="0.40624999999999994"/>
    <n v="0"/>
    <m/>
    <s v="Toussaint"/>
    <m/>
    <m/>
    <s v="Devesset, in turre supra portam"/>
    <s v="Girandus Girandi de Pulinaco"/>
    <s v="Guillermo Blacha domicelli"/>
    <s v="Johannete Gasteo de Olenis"/>
    <m/>
    <m/>
    <m/>
    <m/>
  </r>
  <r>
    <n v="811"/>
    <m/>
    <s v="Egidus"/>
    <s v="Blachonis"/>
    <s v="Masalibrant"/>
    <m/>
    <m/>
    <m/>
    <s v="H"/>
    <n v="1343"/>
    <x v="8"/>
    <n v="16"/>
    <s v="Raynaud de Fay"/>
    <s v="Homo-licgius, justitabilis et expletabilis"/>
    <s v="Talhabilis ad omnimodas voluntatis"/>
    <s v="Non"/>
    <s v="Oui"/>
    <s v="Oui"/>
    <s v="Oui"/>
    <s v="Non"/>
    <m/>
    <m/>
    <n v="1"/>
    <n v="1"/>
    <s v="Oui"/>
    <s v="Non"/>
    <s v="Oui"/>
    <s v="Non"/>
    <s v="Oui"/>
    <s v="Oui"/>
    <s v="Non"/>
    <s v="Non"/>
    <s v="Non"/>
    <s v="Oui"/>
    <s v="Non"/>
    <s v="Non"/>
    <s v="Non"/>
    <s v="Non"/>
    <s v="Non"/>
    <s v="Non"/>
    <s v="Non"/>
    <s v="Non"/>
    <s v="Non"/>
    <s v="Non"/>
    <s v="Non"/>
    <s v="Non"/>
    <s v="Non"/>
    <s v="Non"/>
    <s v="Non"/>
    <s v="Non"/>
    <s v="Non"/>
    <s v="Non"/>
    <s v="Non"/>
    <s v="Non"/>
    <s v="Non"/>
    <s v="Non"/>
    <s v="Non"/>
    <s v="Non"/>
    <s v="Non"/>
    <s v="Non"/>
    <s v="Non"/>
    <s v="Non"/>
    <s v="Non"/>
    <s v="Non"/>
    <m/>
    <s v="Domum + ortum + possessiones"/>
    <s v="Loco et territorio de Masalibrant"/>
    <m/>
    <s v="Tence"/>
    <n v="0.33333333333333331"/>
    <n v="0"/>
    <n v="0"/>
    <n v="0"/>
    <n v="0"/>
    <n v="0"/>
    <n v="5.5"/>
    <n v="0"/>
    <n v="0"/>
    <n v="0"/>
    <n v="0"/>
    <n v="26.8125"/>
    <n v="0"/>
    <n v="0"/>
    <n v="1.5"/>
    <n v="1"/>
    <n v="0"/>
    <n v="0"/>
    <n v="0"/>
    <n v="0"/>
    <n v="9.75"/>
    <n v="0"/>
    <n v="0"/>
    <n v="0"/>
    <n v="0"/>
    <n v="0"/>
    <m/>
    <n v="1.4166666666666667"/>
    <n v="0"/>
    <n v="0"/>
    <n v="0"/>
    <n v="1.4166666666666667"/>
    <n v="0"/>
    <m/>
    <s v="Toussaint"/>
    <m/>
    <s v="Promisit esse bonus et fidelis domini predicte"/>
    <s v="Devesset"/>
    <s v="Girandus Girandi de Pulinaco"/>
    <s v="Bernardo de Ruppe clerico"/>
    <s v="Johane Ariberii de Sancto Agrippavio"/>
    <s v="Petro Crosolem ordinis predicatorum"/>
    <m/>
    <m/>
    <m/>
  </r>
  <r>
    <n v="881"/>
    <m/>
    <s v="Matheus, Johannes et Bartholomeus"/>
    <s v="Blachonis"/>
    <s v="Masalibrant"/>
    <m/>
    <s v="Filii Johannis Blachonis de Masalibrant"/>
    <m/>
    <s v="G"/>
    <n v="1343"/>
    <x v="10"/>
    <n v="30"/>
    <s v="Raynaud de Fay"/>
    <s v="Homo-licgius, justitabilis et expletabilis"/>
    <m/>
    <s v="Non"/>
    <s v="Oui"/>
    <s v="Oui"/>
    <s v="Oui"/>
    <s v="Non"/>
    <s v="Avec bœufs et animaux"/>
    <s v="Contractus emphiteotitarii"/>
    <s v="Oui"/>
    <s v="Oui"/>
    <s v="Oui"/>
    <s v="Oui"/>
    <s v="Oui"/>
    <s v="Oui"/>
    <s v="Oui"/>
    <s v="Oui"/>
    <s v="Non"/>
    <s v="Non"/>
    <s v="Non"/>
    <s v="Non"/>
    <s v="Non"/>
    <s v="Non"/>
    <s v="Non"/>
    <s v="Non"/>
    <s v="Non"/>
    <s v="Non"/>
    <s v="Non"/>
    <s v="Non"/>
    <s v="Non"/>
    <s v="Non"/>
    <s v="Non"/>
    <s v="Non"/>
    <s v="Non"/>
    <s v="Non"/>
    <s v="Non"/>
    <s v="Non"/>
    <s v="Non"/>
    <s v="Non"/>
    <s v="Non"/>
    <s v="Non"/>
    <s v="Non"/>
    <s v="Non"/>
    <s v="Non"/>
    <s v="Non"/>
    <s v="Non"/>
    <s v="Non"/>
    <s v="Non"/>
    <s v="Non"/>
    <s v="Non"/>
    <s v="Oui"/>
    <m/>
    <s v="4 terris + prata + possessionibus + pasturale + possessiones"/>
    <s v="Loco et territorio de Masalibrant"/>
    <m/>
    <s v="Tence"/>
    <n v="1"/>
    <n v="0"/>
    <n v="0"/>
    <n v="0"/>
    <n v="0"/>
    <n v="0"/>
    <n v="24.5"/>
    <n v="0"/>
    <n v="1"/>
    <n v="0"/>
    <n v="0"/>
    <n v="129.1875"/>
    <n v="0"/>
    <n v="0"/>
    <n v="9"/>
    <n v="0"/>
    <n v="0"/>
    <n v="0"/>
    <n v="-0.5"/>
    <n v="0"/>
    <n v="43.265625"/>
    <n v="0"/>
    <n v="0"/>
    <n v="0"/>
    <n v="0"/>
    <n v="0"/>
    <s v="Terras et prate + terris et possessionibus + 2 terris + pasturale"/>
    <n v="10.916666666666668"/>
    <n v="2"/>
    <n v="0"/>
    <n v="0"/>
    <n v="11.000000000000002"/>
    <n v="0"/>
    <s v="Terres, pratis et possessionibus"/>
    <s v="Toussaint"/>
    <s v="De omnimoda juridictine et senhoria"/>
    <s v="Castri Devesseti"/>
    <s v="Devesset, dans la chambre de Frère Jean Meruli"/>
    <s v="Girandus Girandi de Pulinaco"/>
    <s v="Fratre Johanne Meruli"/>
    <s v="Gregorio Ferrandi"/>
    <s v="Andree de Jalibetas"/>
    <m/>
    <m/>
    <s v="In quadam compositione olim facta inter dominum aniciensis episcopum et domum Devesseti"/>
  </r>
  <r>
    <n v="1112"/>
    <s v="Page barée (vaces)"/>
    <s v="Jacobus"/>
    <s v="Bonihonis"/>
    <s v="Gorgoras"/>
    <m/>
    <m/>
    <m/>
    <s v="H"/>
    <n v="1343"/>
    <x v="8"/>
    <n v="29"/>
    <s v="Raynaud de Fay"/>
    <m/>
    <m/>
    <m/>
    <m/>
    <m/>
    <m/>
    <m/>
    <m/>
    <m/>
    <s v="Non"/>
    <s v="Non"/>
    <n v="1"/>
    <s v="Non"/>
    <s v="Non"/>
    <s v="Non"/>
    <s v="Non"/>
    <s v="Non"/>
    <s v="Non"/>
    <s v="Non"/>
    <s v="Non"/>
    <s v="Non"/>
    <s v="Non"/>
    <s v="Non"/>
    <s v="Non"/>
    <s v="Non"/>
    <s v="Non"/>
    <s v="Non"/>
    <s v="Non"/>
    <n v="2"/>
    <s v="Non"/>
    <s v="Non"/>
    <s v="Non"/>
    <s v="Non"/>
    <s v="Non"/>
    <s v="Non"/>
    <s v="Non"/>
    <s v="Non"/>
    <s v="Non"/>
    <s v="Non"/>
    <s v="Non"/>
    <s v="Non"/>
    <s v="Non"/>
    <s v="Non"/>
    <s v="Non"/>
    <s v="Non"/>
    <s v="Non"/>
    <s v="Non"/>
    <s v="Non"/>
    <s v="Non"/>
    <s v="Non"/>
    <s v="Non"/>
    <m/>
    <s v="Pratum"/>
    <m/>
    <m/>
    <m/>
    <n v="0"/>
    <m/>
    <m/>
    <n v="0"/>
    <m/>
    <m/>
    <m/>
    <m/>
    <m/>
    <m/>
    <m/>
    <n v="0"/>
    <m/>
    <m/>
    <m/>
    <m/>
    <m/>
    <m/>
    <m/>
    <m/>
    <n v="0"/>
    <m/>
    <m/>
    <m/>
    <m/>
    <m/>
    <m/>
    <m/>
    <m/>
    <m/>
    <m/>
    <n v="0"/>
    <m/>
    <m/>
    <m/>
    <m/>
    <m/>
    <m/>
    <m/>
    <m/>
    <m/>
    <m/>
    <m/>
    <m/>
    <m/>
  </r>
  <r>
    <n v="1124"/>
    <m/>
    <s v="Jacobus"/>
    <s v="Bonihonis"/>
    <s v="Gorgoras"/>
    <m/>
    <m/>
    <m/>
    <s v="H"/>
    <n v="1343"/>
    <x v="8"/>
    <n v="29"/>
    <s v="Raynaud de Fay"/>
    <m/>
    <m/>
    <m/>
    <m/>
    <m/>
    <m/>
    <m/>
    <m/>
    <m/>
    <m/>
    <m/>
    <m/>
    <m/>
    <m/>
    <m/>
    <m/>
    <m/>
    <m/>
    <m/>
    <m/>
    <m/>
    <m/>
    <m/>
    <m/>
    <m/>
    <m/>
    <m/>
    <m/>
    <m/>
    <m/>
    <m/>
    <m/>
    <m/>
    <m/>
    <m/>
    <m/>
    <m/>
    <m/>
    <m/>
    <m/>
    <m/>
    <m/>
    <m/>
    <m/>
    <m/>
    <m/>
    <m/>
    <m/>
    <m/>
    <m/>
    <m/>
    <m/>
    <m/>
    <m/>
    <m/>
    <s v="Pas mesure indiquée, mais probablement Borzezam"/>
    <n v="0"/>
    <n v="0"/>
    <n v="0"/>
    <n v="0"/>
    <n v="0"/>
    <n v="0"/>
    <n v="1.1666666666666665"/>
    <n v="0"/>
    <n v="0"/>
    <n v="0"/>
    <n v="0"/>
    <n v="5.6874999999999991"/>
    <n v="0"/>
    <n v="0"/>
    <n v="1.1666666666666665"/>
    <n v="0"/>
    <n v="0"/>
    <n v="0"/>
    <n v="0"/>
    <n v="0"/>
    <n v="5.6874999999999991"/>
    <n v="0"/>
    <n v="0"/>
    <n v="0"/>
    <n v="0"/>
    <n v="0"/>
    <s v="Pro uxor eius filii"/>
    <n v="0.66666666666666674"/>
    <n v="0"/>
    <n v="0"/>
    <n v="1.5"/>
    <n v="0.69791666666666674"/>
    <n v="0"/>
    <m/>
    <m/>
    <m/>
    <m/>
    <m/>
    <m/>
    <m/>
    <m/>
    <m/>
    <m/>
    <m/>
    <m/>
  </r>
  <r>
    <n v="1125"/>
    <m/>
    <s v="Poncius"/>
    <s v="Bonihonis"/>
    <s v="Gorgoras"/>
    <m/>
    <m/>
    <s v="Pro Johanna uxor filii sui"/>
    <s v="H"/>
    <n v="1343"/>
    <x v="8"/>
    <n v="29"/>
    <s v="Raynaud de Fay"/>
    <m/>
    <m/>
    <m/>
    <m/>
    <m/>
    <m/>
    <m/>
    <m/>
    <m/>
    <m/>
    <m/>
    <m/>
    <m/>
    <m/>
    <m/>
    <m/>
    <m/>
    <m/>
    <m/>
    <m/>
    <m/>
    <m/>
    <m/>
    <m/>
    <m/>
    <m/>
    <m/>
    <m/>
    <m/>
    <m/>
    <m/>
    <m/>
    <m/>
    <m/>
    <m/>
    <m/>
    <m/>
    <m/>
    <m/>
    <m/>
    <m/>
    <m/>
    <m/>
    <m/>
    <m/>
    <m/>
    <m/>
    <m/>
    <m/>
    <m/>
    <m/>
    <m/>
    <m/>
    <m/>
    <s v="Bru"/>
    <s v="Pas mesure indiquée, mais probablement Borzezam"/>
    <n v="0"/>
    <n v="0"/>
    <n v="0"/>
    <n v="0"/>
    <n v="0"/>
    <n v="0"/>
    <n v="0.66666666666666663"/>
    <n v="0"/>
    <n v="0"/>
    <n v="0"/>
    <n v="0"/>
    <n v="3.25"/>
    <n v="0"/>
    <n v="0"/>
    <n v="0.66666666666666663"/>
    <n v="0"/>
    <n v="0"/>
    <n v="0"/>
    <n v="0"/>
    <n v="0"/>
    <n v="3.25"/>
    <n v="0"/>
    <n v="0"/>
    <n v="0"/>
    <n v="0"/>
    <n v="0"/>
    <m/>
    <n v="0.41666666666666669"/>
    <n v="0"/>
    <n v="0"/>
    <n v="0"/>
    <n v="0.41666666666666669"/>
    <n v="0"/>
    <m/>
    <m/>
    <m/>
    <m/>
    <m/>
    <m/>
    <m/>
    <m/>
    <m/>
    <m/>
    <m/>
    <m/>
  </r>
  <r>
    <n v="1111"/>
    <s v="Page barée (vaces)"/>
    <s v="Jacobus et Poncius + Johannis, Bertrandi et Girandus + Jacobus"/>
    <s v="Bonihonis + Ayglini + Fayoli del Buic"/>
    <s v="Gorgoras"/>
    <m/>
    <m/>
    <s v="Jacobus Fayoli nomine Michaele filie Johannis Chanalerii de Gorgoras uxoris sue + Guillermi Chanalerii de Gorgeras condam"/>
    <s v="G"/>
    <n v="1343"/>
    <x v="8"/>
    <n v="29"/>
    <s v="Raynaud de Fay"/>
    <m/>
    <m/>
    <m/>
    <m/>
    <m/>
    <m/>
    <m/>
    <m/>
    <m/>
    <m/>
    <m/>
    <m/>
    <m/>
    <m/>
    <m/>
    <m/>
    <m/>
    <m/>
    <m/>
    <m/>
    <m/>
    <m/>
    <m/>
    <m/>
    <m/>
    <m/>
    <m/>
    <m/>
    <m/>
    <m/>
    <m/>
    <m/>
    <m/>
    <m/>
    <m/>
    <m/>
    <m/>
    <m/>
    <m/>
    <m/>
    <m/>
    <m/>
    <m/>
    <m/>
    <m/>
    <m/>
    <m/>
    <m/>
    <m/>
    <m/>
    <m/>
    <m/>
    <m/>
    <m/>
    <s v="Divers"/>
    <m/>
    <n v="0"/>
    <m/>
    <m/>
    <n v="0"/>
    <m/>
    <m/>
    <m/>
    <m/>
    <m/>
    <m/>
    <m/>
    <n v="0"/>
    <m/>
    <m/>
    <m/>
    <m/>
    <m/>
    <m/>
    <m/>
    <m/>
    <n v="0"/>
    <m/>
    <m/>
    <m/>
    <m/>
    <m/>
    <m/>
    <m/>
    <m/>
    <m/>
    <m/>
    <n v="0"/>
    <m/>
    <m/>
    <m/>
    <m/>
    <m/>
    <m/>
    <m/>
    <m/>
    <m/>
    <m/>
    <m/>
    <m/>
    <m/>
  </r>
  <r>
    <n v="1121"/>
    <m/>
    <s v="Jacobus et Poncius + Johannes, Girandis et Bertrandus + Guillermus + Michaela + Peyrononus et Blancha"/>
    <s v="Bonihonis + Ayglini + Giardi + Chanaleira + De Rivo + Diutras"/>
    <s v="Gorgoras"/>
    <m/>
    <s v="Michaela Chanaleira filia Johanis Chanalerii condam + Peyrononus De Rivo filius Guillermi de Rivo de Gorgoras"/>
    <s v="Nomine Johanne uxoris Anthonii Chanaleira filii + Blancha Duitras nomine Petronille filie sue et filie Johannis Ayglini eius mariti conda + Michaela nomine Laurenti et Martine filiarum Guillermi Chanalem condam"/>
    <s v="G"/>
    <n v="1343"/>
    <x v="8"/>
    <n v="29"/>
    <s v="Raynaud de Fay"/>
    <m/>
    <m/>
    <m/>
    <m/>
    <m/>
    <m/>
    <m/>
    <m/>
    <m/>
    <s v="Non"/>
    <s v="Non"/>
    <s v="Non"/>
    <s v="Non"/>
    <s v="Non"/>
    <s v="Non"/>
    <s v="Non"/>
    <s v="Non"/>
    <s v="Non"/>
    <s v="Non"/>
    <s v="Non"/>
    <s v="Non"/>
    <s v="Non"/>
    <s v="Non"/>
    <s v="Non"/>
    <s v="Non"/>
    <s v="Non"/>
    <s v="Non"/>
    <s v="Non"/>
    <s v="Non"/>
    <s v="Non"/>
    <s v="Non"/>
    <s v="Non"/>
    <s v="Non"/>
    <n v="2"/>
    <s v="Non"/>
    <s v="Non"/>
    <s v="Non"/>
    <s v="Non"/>
    <s v="Non"/>
    <s v="Non"/>
    <s v="Non"/>
    <s v="Non"/>
    <s v="Non"/>
    <s v="Non"/>
    <s v="Non"/>
    <s v="Non"/>
    <s v="Non"/>
    <s v="Non"/>
    <s v="Non"/>
    <s v="Non"/>
    <s v="Non"/>
    <m/>
    <s v="2 Tenementum"/>
    <m/>
    <s v="Divers"/>
    <s v="Borzeza"/>
    <n v="0"/>
    <n v="0"/>
    <n v="0"/>
    <n v="0"/>
    <n v="0"/>
    <n v="0"/>
    <n v="6"/>
    <n v="0"/>
    <n v="0"/>
    <n v="0"/>
    <n v="0"/>
    <n v="29.25"/>
    <n v="0"/>
    <n v="0"/>
    <n v="6"/>
    <n v="0"/>
    <n v="0"/>
    <n v="0"/>
    <n v="0"/>
    <n v="0"/>
    <n v="29.25"/>
    <n v="0"/>
    <n v="0"/>
    <n v="0"/>
    <n v="0"/>
    <n v="0"/>
    <m/>
    <n v="3.5"/>
    <n v="0"/>
    <n v="0"/>
    <n v="0"/>
    <n v="3.5"/>
    <n v="0"/>
    <m/>
    <s v="Toussaint"/>
    <s v="De omnimoda juridictione"/>
    <s v="Castri Devesseti"/>
    <s v="Saint-Romain, in carrerra juxta Synnuterium"/>
    <s v="Girandus Girandi de Pulinaco"/>
    <s v="Fratre Guillermo de Ruppe curato ecclesie Sancti Romani"/>
    <s v="Jacobo de la Chareyra diutros"/>
    <s v="Johanne filio Jacobi de Marcis parrochie Sancti Romani"/>
    <m/>
    <m/>
    <s v="In compositione inter domus Devesseti et Guillermi de Romigeriis domicelli"/>
  </r>
  <r>
    <n v="1182"/>
    <m/>
    <s v="Johannes"/>
    <s v="Boscheti"/>
    <s v="Chaudaralis"/>
    <m/>
    <m/>
    <s v="Nomine Girandi Boscheti eius fratris"/>
    <s v="H"/>
    <n v="1344"/>
    <x v="3"/>
    <n v="4"/>
    <s v="Raynaud de Fay"/>
    <m/>
    <m/>
    <m/>
    <m/>
    <m/>
    <m/>
    <m/>
    <m/>
    <s v="Constractus emphiteo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s v="Frère"/>
    <m/>
    <n v="0"/>
    <n v="0"/>
    <n v="0"/>
    <n v="0"/>
    <n v="0"/>
    <n v="0"/>
    <n v="0"/>
    <n v="0"/>
    <n v="0"/>
    <n v="0"/>
    <n v="0"/>
    <n v="0"/>
    <n v="0"/>
    <n v="0"/>
    <n v="0"/>
    <n v="0"/>
    <n v="0"/>
    <n v="0"/>
    <n v="0"/>
    <n v="0"/>
    <n v="0"/>
    <n v="0"/>
    <n v="0"/>
    <n v="0"/>
    <n v="0"/>
    <n v="0"/>
    <s v="Pratum"/>
    <n v="0.75"/>
    <n v="0"/>
    <n v="0"/>
    <n v="0"/>
    <n v="0.75"/>
    <n v="0"/>
    <m/>
    <s v="Toussaint"/>
    <s v="De juridictione"/>
    <s v="Castri Devesseti"/>
    <s v="Devesset, in turre supra portam"/>
    <s v="Girandus Girandi de Pulinaco"/>
    <s v="G. Gastonis domicellis"/>
    <s v="Andree de Galibertis"/>
    <m/>
    <m/>
    <m/>
    <s v="In compositione inter domus Devesseti et Guillermi de Pictano"/>
  </r>
  <r>
    <n v="873"/>
    <s v="Marge illisible"/>
    <s v="Jacobus"/>
    <s v="Boyronis"/>
    <s v="Chanclausa"/>
    <m/>
    <s v="Filius Guillermus Boyronis de Chanclausa condam"/>
    <s v="Nomine fratrum suorum"/>
    <s v="H"/>
    <n v="1343"/>
    <x v="2"/>
    <n v="31"/>
    <s v="Raynaud de Fay"/>
    <m/>
    <m/>
    <m/>
    <m/>
    <m/>
    <m/>
    <m/>
    <m/>
    <s v="Contractus emphiteotitarii"/>
    <s v="Non"/>
    <n v="1"/>
    <n v="3"/>
    <s v="Non"/>
    <s v="Non"/>
    <s v="Non"/>
    <n v="1"/>
    <s v="Non"/>
    <s v="Non"/>
    <s v="Non"/>
    <s v="Non"/>
    <s v="Non"/>
    <s v="Non"/>
    <s v="Non"/>
    <s v="Non"/>
    <s v="Non"/>
    <s v="Non"/>
    <s v="Non"/>
    <s v="Non"/>
    <n v="1"/>
    <s v="Non"/>
    <s v="Non"/>
    <s v="Non"/>
    <s v="Non"/>
    <s v="Non"/>
    <s v="Non"/>
    <s v="Non"/>
    <s v="Non"/>
    <s v="Non"/>
    <s v="Non"/>
    <s v="Non"/>
    <s v="Non"/>
    <s v="Non"/>
    <s v="Non"/>
    <s v="Non"/>
    <s v="Non"/>
    <s v="Non"/>
    <s v="Non"/>
    <s v="Non"/>
    <s v="Non"/>
    <s v="Non"/>
    <s v="Non"/>
    <m/>
    <s v="3 Prata + 1 petia + 1 pasturale + 1 ortum"/>
    <m/>
    <s v="Frères"/>
    <s v="Fay"/>
    <n v="0"/>
    <n v="1"/>
    <n v="0"/>
    <n v="4.875"/>
    <n v="0"/>
    <n v="0"/>
    <n v="0"/>
    <n v="0"/>
    <n v="0"/>
    <n v="0"/>
    <n v="0"/>
    <n v="0"/>
    <n v="0"/>
    <n v="0"/>
    <n v="1"/>
    <n v="0"/>
    <n v="0"/>
    <n v="0"/>
    <n v="0"/>
    <n v="0"/>
    <n v="4.875"/>
    <n v="0"/>
    <n v="0"/>
    <n v="0"/>
    <n v="0"/>
    <n v="0"/>
    <m/>
    <n v="0.75"/>
    <n v="0"/>
    <n v="0"/>
    <n v="0"/>
    <n v="0.75"/>
    <n v="0"/>
    <m/>
    <s v="Toussaint"/>
    <m/>
    <s v="De juridictione domus Devesseti"/>
    <s v="Devesset, sub estra"/>
    <s v="Girandus Girandi de Pulinaco"/>
    <s v="Poncio Meruli clerico"/>
    <s v="Armando de la Pitandena"/>
    <m/>
    <m/>
    <m/>
    <s v="In quadam compositione olim facta inter dominum aniciensis episcopum et domum Devesseti"/>
  </r>
  <r>
    <n v="1381"/>
    <m/>
    <s v="Vitalis"/>
    <s v="Brannac"/>
    <s v="La Vileta"/>
    <m/>
    <m/>
    <s v="Nomine Pastoris eius uxoris"/>
    <s v="H"/>
    <s v="?"/>
    <x v="11"/>
    <s v="?"/>
    <s v="Raynaud de Fay"/>
    <m/>
    <m/>
    <m/>
    <m/>
    <m/>
    <m/>
    <m/>
    <m/>
    <m/>
    <s v="Non"/>
    <s v="Oui"/>
    <n v="2"/>
    <s v="Non"/>
    <s v="Non"/>
    <s v="Non"/>
    <s v="Non"/>
    <s v="Non"/>
    <n v="1"/>
    <s v="Non"/>
    <s v="Non"/>
    <s v="Non"/>
    <s v="Non"/>
    <s v="Non"/>
    <s v="Non"/>
    <n v="1"/>
    <s v="Non"/>
    <s v="Non"/>
    <s v="Non"/>
    <n v="6"/>
    <s v="Non"/>
    <s v="Non"/>
    <s v="Non"/>
    <s v="Non"/>
    <s v="Non"/>
    <s v="Non"/>
    <s v="Non"/>
    <s v="Non"/>
    <s v="Non"/>
    <s v="Non"/>
    <s v="Non"/>
    <s v="Non"/>
    <s v="Non"/>
    <s v="Non"/>
    <s v="Non"/>
    <s v="Non"/>
    <s v="Non"/>
    <s v="Non"/>
    <s v="Non"/>
    <s v="Non"/>
    <s v="Non"/>
    <s v="Non"/>
    <m/>
    <s v="1 ortos + 6 petiae + 2 prati + 1 casale + ouchiam + possessiones"/>
    <s v="Manso et territorio de la Vileta"/>
    <s v="Femme"/>
    <s v="Devesset"/>
    <n v="0.33333333333333331"/>
    <n v="0"/>
    <n v="0"/>
    <n v="0"/>
    <n v="0"/>
    <n v="0"/>
    <n v="3"/>
    <n v="0"/>
    <n v="0"/>
    <n v="0"/>
    <n v="0"/>
    <n v="14.625"/>
    <n v="0"/>
    <n v="0"/>
    <n v="1.5"/>
    <n v="0"/>
    <n v="0"/>
    <n v="0"/>
    <n v="0"/>
    <n v="0"/>
    <n v="7.3125"/>
    <n v="0"/>
    <n v="0"/>
    <n v="0"/>
    <n v="0"/>
    <n v="0"/>
    <s v="Casale + duabus prati"/>
    <n v="2.25"/>
    <n v="0"/>
    <n v="0"/>
    <n v="0"/>
    <n v="2.25"/>
    <n v="0"/>
    <m/>
    <s v="Toussaint"/>
    <s v="Mero et mixto imperio"/>
    <s v="De mandamento et juridictione et de mandamentum castri seu domus Devesseti"/>
    <s v="Devesset, in turre supra portam"/>
    <s v="Girandus Girandi de Pulinaco"/>
    <s v="Petro de Ruppe"/>
    <s v="Al' Malpinha"/>
    <s v="Petro de Mentalonel"/>
    <m/>
    <m/>
    <m/>
  </r>
  <r>
    <n v="1392"/>
    <m/>
    <s v="Vitalis"/>
    <s v="Brannac"/>
    <s v="La Vileta"/>
    <m/>
    <m/>
    <m/>
    <s v="H"/>
    <n v="1343"/>
    <x v="8"/>
    <n v="22"/>
    <s v="Raynaud de Fay"/>
    <s v="Homo-licgius, justitabilis et expletabilis"/>
    <m/>
    <s v="Non"/>
    <s v="Oui"/>
    <s v="Oui"/>
    <s v="Oui"/>
    <s v="Non"/>
    <m/>
    <m/>
    <s v="Oui"/>
    <s v="Oui"/>
    <n v="2"/>
    <s v="Non"/>
    <n v="1"/>
    <s v="Non"/>
    <s v="Non"/>
    <s v="Non"/>
    <s v="Non"/>
    <s v="Non"/>
    <s v="Non"/>
    <s v="Non"/>
    <s v="Non"/>
    <s v="Non"/>
    <s v="Non"/>
    <s v="Oui"/>
    <s v="Non"/>
    <s v="Non"/>
    <s v="Non"/>
    <n v="8"/>
    <s v="Non"/>
    <s v="Non"/>
    <s v="Non"/>
    <s v="Non"/>
    <s v="Non"/>
    <s v="Non"/>
    <s v="Non"/>
    <s v="Non"/>
    <s v="Non"/>
    <s v="Non"/>
    <s v="Non"/>
    <s v="Non"/>
    <s v="Non"/>
    <s v="Non"/>
    <s v="Non"/>
    <s v="Non"/>
    <s v="Non"/>
    <s v="Non"/>
    <s v="Non"/>
    <s v="Non"/>
    <s v="Non"/>
    <s v="Non"/>
    <m/>
    <s v="8 petiae + 1 ouchia + domos + 1 nemus + 2 prati"/>
    <m/>
    <m/>
    <s v="Devesset"/>
    <n v="1"/>
    <n v="0"/>
    <n v="0"/>
    <n v="0"/>
    <n v="0"/>
    <n v="0"/>
    <n v="7"/>
    <n v="3"/>
    <n v="0"/>
    <n v="0"/>
    <n v="0"/>
    <n v="41.4375"/>
    <n v="0"/>
    <n v="1"/>
    <n v="0"/>
    <n v="0"/>
    <n v="0"/>
    <n v="0"/>
    <n v="0"/>
    <n v="0"/>
    <n v="19.5"/>
    <n v="0"/>
    <n v="0"/>
    <n v="0"/>
    <n v="0"/>
    <n v="0"/>
    <s v="Domos + duabus prati"/>
    <n v="9"/>
    <n v="0"/>
    <n v="0"/>
    <n v="0"/>
    <n v="9"/>
    <n v="0"/>
    <m/>
    <m/>
    <m/>
    <m/>
    <m/>
    <s v="Girandus Girandi de Pulinaco"/>
    <m/>
    <m/>
    <m/>
    <m/>
    <m/>
    <m/>
  </r>
  <r>
    <n v="791"/>
    <s v="Marge illisible"/>
    <s v="Staphanis"/>
    <s v="Brossardi de Font Moreta"/>
    <s v="Chanclausa"/>
    <m/>
    <m/>
    <s v="Nomine uxoris sue"/>
    <s v="H"/>
    <n v="1343"/>
    <x v="6"/>
    <n v="20"/>
    <s v="Raynaud de Fay"/>
    <s v="Promisit esse fidelis tenementarius domus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s v="Femme"/>
    <m/>
    <n v="0"/>
    <n v="0"/>
    <n v="0"/>
    <n v="0"/>
    <n v="0"/>
    <n v="0"/>
    <n v="0"/>
    <n v="0"/>
    <n v="0"/>
    <n v="0"/>
    <n v="0"/>
    <n v="0"/>
    <n v="0"/>
    <n v="0"/>
    <n v="0"/>
    <n v="0"/>
    <n v="0"/>
    <n v="0"/>
    <n v="0"/>
    <n v="0"/>
    <n v="0"/>
    <n v="0"/>
    <n v="0"/>
    <n v="0"/>
    <n v="0"/>
    <n v="0"/>
    <s v="Pratum"/>
    <n v="0.16666666666666666"/>
    <n v="0"/>
    <n v="0"/>
    <n v="0"/>
    <n v="0.16666666666666666"/>
    <n v="0"/>
    <m/>
    <s v="Toussaint"/>
    <s v="De juridictine et senhoria"/>
    <s v="Castri Devesseti"/>
    <s v="Devesset, sub estris"/>
    <s v="Girandus Girandi de Pulinaco"/>
    <s v="Magistro Johane Maynerii"/>
    <s v="Fratre Petro de Casalibus"/>
    <s v="Petro Manelha de Font Morera"/>
    <m/>
    <m/>
    <s v="In quadam compositione olim facta inter dominum aniciensis episcopum et domum Devesseti"/>
  </r>
  <r>
    <n v="1851"/>
    <m/>
    <s v="Guillermis"/>
    <s v="Brossonis"/>
    <s v="Liomas"/>
    <s v="Parrochie Del Posit"/>
    <m/>
    <m/>
    <s v="H"/>
    <n v="1344"/>
    <x v="6"/>
    <n v="10"/>
    <s v="Raynaud de Fay"/>
    <s v="Promisit esse fidelis tenementarius domus Devesseti"/>
    <m/>
    <m/>
    <m/>
    <m/>
    <m/>
    <m/>
    <m/>
    <m/>
    <s v="Non"/>
    <s v="Non"/>
    <n v="1"/>
    <s v="Non"/>
    <s v="Non"/>
    <s v="Non"/>
    <s v="Non"/>
    <s v="Oui"/>
    <s v="Non"/>
    <s v="Non"/>
    <s v="Non"/>
    <s v="Non"/>
    <s v="Non"/>
    <s v="Non"/>
    <s v="Non"/>
    <s v="Non"/>
    <s v="Non"/>
    <s v="Non"/>
    <s v="Non"/>
    <n v="2"/>
    <s v="Non"/>
    <s v="Non"/>
    <s v="Non"/>
    <s v="Non"/>
    <s v="Non"/>
    <s v="Non"/>
    <s v="Non"/>
    <s v="Non"/>
    <s v="Non"/>
    <s v="Non"/>
    <s v="Non"/>
    <s v="Non"/>
    <s v="Non"/>
    <s v="Non"/>
    <s v="Non"/>
    <s v="Non"/>
    <s v="Non"/>
    <s v="Non"/>
    <s v="Non"/>
    <s v="Non"/>
    <s v="Non"/>
    <s v="Non"/>
    <m/>
    <s v="2 petiam + pratum + terre petiam + terram"/>
    <m/>
    <m/>
    <s v="Chalencon"/>
    <n v="1"/>
    <n v="0"/>
    <n v="0"/>
    <n v="0"/>
    <n v="0"/>
    <n v="0"/>
    <n v="0"/>
    <n v="9"/>
    <n v="0"/>
    <n v="0"/>
    <n v="0"/>
    <n v="10.96875"/>
    <n v="0"/>
    <n v="0"/>
    <n v="0"/>
    <n v="9"/>
    <n v="0"/>
    <n v="0"/>
    <n v="0"/>
    <n v="0"/>
    <n v="10.96875"/>
    <n v="0"/>
    <n v="0"/>
    <n v="0"/>
    <n v="0"/>
    <n v="0"/>
    <m/>
    <n v="0.16666666666666666"/>
    <n v="0"/>
    <n v="0"/>
    <n v="0"/>
    <n v="0.16666666666666666"/>
    <n v="0"/>
    <m/>
    <s v="Toussaint"/>
    <m/>
    <m/>
    <s v="Saint-Agrève, in hospicio Stephani Brossonis"/>
    <s v="Girandus Girandi de Pulinaco"/>
    <s v="Johanne Fabri Habitatore Ruppispaule"/>
    <s v="Jacobo Fabri de Mundo habitator Ruppispaule"/>
    <s v="Martine de Balinis"/>
    <s v="Guillermo Grosseti"/>
    <s v="Guillermo Lo sub sive Salvaynh"/>
    <m/>
  </r>
  <r>
    <n v="1622"/>
    <m/>
    <s v="Petrus"/>
    <s v="Brunents"/>
    <s v="Hereone"/>
    <m/>
    <m/>
    <m/>
    <s v="H"/>
    <n v="1343"/>
    <x v="0"/>
    <n v="4"/>
    <s v="Raynaud de Fay"/>
    <m/>
    <m/>
    <m/>
    <m/>
    <m/>
    <m/>
    <m/>
    <m/>
    <s v="Constractus emphiteotarii"/>
    <s v="Non"/>
    <s v="Non"/>
    <s v="Non"/>
    <s v="Non"/>
    <s v="Non"/>
    <s v="Non"/>
    <s v="Non"/>
    <s v="Oui"/>
    <s v="Non"/>
    <s v="Non"/>
    <s v="Non"/>
    <s v="Non"/>
    <s v="Non"/>
    <s v="Non"/>
    <s v="Non"/>
    <s v="Non"/>
    <s v="Non"/>
    <s v="Non"/>
    <s v="Non"/>
    <n v="1"/>
    <s v="Non"/>
    <s v="Non"/>
    <s v="Non"/>
    <s v="Non"/>
    <s v="Non"/>
    <s v="Non"/>
    <s v="Non"/>
    <s v="Non"/>
    <s v="Non"/>
    <s v="Non"/>
    <s v="Non"/>
    <s v="Non"/>
    <s v="Non"/>
    <s v="Non"/>
    <s v="Non"/>
    <s v="Non"/>
    <s v="Non"/>
    <s v="Non"/>
    <s v="Non"/>
    <s v="Non"/>
    <s v="Non"/>
    <s v="Non"/>
    <m/>
    <s v="Terre petiam + petiam"/>
    <m/>
    <m/>
    <m/>
    <n v="0"/>
    <n v="0"/>
    <n v="0"/>
    <n v="0"/>
    <n v="0"/>
    <n v="0"/>
    <n v="0"/>
    <n v="0"/>
    <n v="0"/>
    <n v="0"/>
    <n v="0"/>
    <n v="0"/>
    <n v="0"/>
    <n v="0"/>
    <n v="0"/>
    <n v="0"/>
    <n v="0"/>
    <n v="0"/>
    <n v="0"/>
    <n v="0"/>
    <n v="0"/>
    <n v="0"/>
    <n v="0"/>
    <n v="0"/>
    <n v="0"/>
    <n v="0"/>
    <m/>
    <n v="0.41666666666666669"/>
    <n v="0"/>
    <n v="0"/>
    <n v="0"/>
    <n v="0.41666666666666669"/>
    <n v="0"/>
    <m/>
    <s v="Toussaint"/>
    <m/>
    <s v="De juridictione omnimoda et de mandamento castri Devesseti"/>
    <s v="Devesset, in turre supra portam"/>
    <s v="Girandus Girandi de Pulinaco"/>
    <s v="Petro de Ruela"/>
    <s v="Johanne de Ruela"/>
    <m/>
    <m/>
    <m/>
    <m/>
  </r>
  <r>
    <n v="1813"/>
    <m/>
    <s v="Stephanis"/>
    <s v="Brunet"/>
    <s v="Hereone"/>
    <m/>
    <s v="Filius Johannis Brunet al' Ariberii de Hereone"/>
    <s v="Nomine Petri eius fratis"/>
    <s v="H"/>
    <n v="1344"/>
    <x v="4"/>
    <n v="13"/>
    <s v="Raynaud de Fay"/>
    <s v="Promisit esse fidelis tenementarius domus Devesseti"/>
    <m/>
    <m/>
    <m/>
    <m/>
    <m/>
    <m/>
    <m/>
    <s v="Constractus emphiteotarii"/>
    <s v="Non"/>
    <s v="Non"/>
    <s v="Oui"/>
    <s v="Non"/>
    <s v="Oui"/>
    <s v="Non"/>
    <s v="Non"/>
    <s v="Non"/>
    <s v="Non"/>
    <s v="Non"/>
    <s v="Non"/>
    <s v="Non"/>
    <s v="Non"/>
    <s v="Non"/>
    <s v="Non"/>
    <s v="Non"/>
    <s v="Non"/>
    <s v="Non"/>
    <s v="Non"/>
    <s v="Non"/>
    <s v="Non"/>
    <s v="Non"/>
    <s v="Non"/>
    <s v="Non"/>
    <s v="Non"/>
    <s v="Non"/>
    <s v="Non"/>
    <s v="Non"/>
    <s v="Non"/>
    <s v="Non"/>
    <s v="Non"/>
    <s v="Non"/>
    <s v="Non"/>
    <s v="Non"/>
    <s v="Non"/>
    <s v="Non"/>
    <s v="Non"/>
    <s v="Non"/>
    <s v="Non"/>
    <s v="Non"/>
    <s v="Non"/>
    <s v="Non"/>
    <m/>
    <s v="Pertem nemore + patem prati"/>
    <m/>
    <s v="Frère"/>
    <m/>
    <n v="0"/>
    <n v="0"/>
    <n v="0"/>
    <n v="0"/>
    <n v="0"/>
    <n v="0"/>
    <n v="0"/>
    <n v="0"/>
    <n v="0"/>
    <n v="0"/>
    <n v="0"/>
    <n v="0"/>
    <n v="0"/>
    <n v="0"/>
    <n v="0"/>
    <n v="0"/>
    <n v="0"/>
    <n v="0"/>
    <n v="0"/>
    <n v="0"/>
    <n v="0"/>
    <n v="0"/>
    <n v="0"/>
    <n v="0"/>
    <n v="0"/>
    <n v="0"/>
    <s v="Partem prati + partem nemore"/>
    <n v="0.5"/>
    <n v="0"/>
    <n v="0"/>
    <n v="0"/>
    <n v="0.5"/>
    <n v="0"/>
    <m/>
    <s v="Toussaint"/>
    <m/>
    <m/>
    <s v="Devesset, in turre supra portam"/>
    <s v="Girandus Girandi de Pulinaco"/>
    <s v="Guillermo Elie Militi"/>
    <s v="Johanne Meruli Hospitalis"/>
    <s v="Peyruchono del Tremole"/>
    <m/>
    <m/>
    <m/>
  </r>
  <r>
    <n v="1601"/>
    <m/>
    <s v="Poncius"/>
    <s v="Bruni"/>
    <s v="Chalmetis"/>
    <m/>
    <m/>
    <m/>
    <s v="H"/>
    <n v="1343"/>
    <x v="3"/>
    <n v="20"/>
    <s v="Raynaud de Fay"/>
    <m/>
    <m/>
    <m/>
    <m/>
    <m/>
    <m/>
    <m/>
    <m/>
    <s v="Constractus emphiteotarii"/>
    <s v="Non"/>
    <s v="Oui"/>
    <n v="2"/>
    <s v="Non"/>
    <s v="Non"/>
    <s v="Non"/>
    <n v="1"/>
    <s v="Oui"/>
    <s v="Non"/>
    <s v="Non"/>
    <s v="Non"/>
    <s v="Non"/>
    <s v="Oui"/>
    <s v="Non"/>
    <s v="Non"/>
    <s v="Non"/>
    <s v="Non"/>
    <s v="Non"/>
    <s v="Non"/>
    <s v="Non"/>
    <s v="Non"/>
    <s v="Non"/>
    <s v="Non"/>
    <s v="Non"/>
    <s v="Non"/>
    <s v="Non"/>
    <s v="Non"/>
    <s v="Non"/>
    <s v="Non"/>
    <s v="Non"/>
    <s v="Non"/>
    <s v="Non"/>
    <s v="Non"/>
    <s v="Non"/>
    <s v="Non"/>
    <s v="Non"/>
    <s v="Non"/>
    <s v="Non"/>
    <s v="Non"/>
    <s v="Non"/>
    <s v="Non"/>
    <s v="Non"/>
    <m/>
    <s v="5 terram + 2 pratum + pasturale + jus + jus terre + jus calme + partem orti + orto"/>
    <m/>
    <m/>
    <s v="Borzeza"/>
    <n v="0"/>
    <n v="0"/>
    <n v="0"/>
    <n v="0"/>
    <n v="0"/>
    <n v="0"/>
    <n v="1"/>
    <n v="0"/>
    <n v="0"/>
    <n v="1"/>
    <n v="0"/>
    <n v="6.09375"/>
    <n v="0"/>
    <n v="0"/>
    <n v="0"/>
    <n v="1"/>
    <n v="0"/>
    <n v="0"/>
    <n v="0"/>
    <n v="0"/>
    <n v="2.4375"/>
    <n v="0"/>
    <n v="0"/>
    <n v="0"/>
    <n v="0"/>
    <n v="0"/>
    <s v="Orto + terra"/>
    <n v="1.25"/>
    <n v="0"/>
    <n v="0"/>
    <n v="1"/>
    <n v="1.2708333333333333"/>
    <n v="0"/>
    <m/>
    <s v="Toussaint"/>
    <m/>
    <s v="De mandamento et infra mandamento et juridictione castri Devesset"/>
    <s v="Devesset, in turre supra portam"/>
    <s v="Girandus Girandi de Pulinaco"/>
    <s v="Vitale Sanhas"/>
    <s v="Bertranda Bruni de Chalmetis"/>
    <m/>
    <m/>
    <m/>
    <m/>
  </r>
  <r>
    <n v="1383"/>
    <m/>
    <s v="Symondus"/>
    <s v="Bruni de Sancto Agrippano"/>
    <s v="Rilhac"/>
    <m/>
    <m/>
    <s v="Nomine Symundi eius filii et aliorum liberorum ipsius Symundi + Vitalis Bochardi"/>
    <s v="H"/>
    <n v="1342"/>
    <x v="12"/>
    <n v="15"/>
    <s v="Raynaud de Fay"/>
    <s v="Homo-licgius, justitabilis et expletabilis"/>
    <m/>
    <s v="Non"/>
    <s v="Oui"/>
    <s v="Oui"/>
    <s v="Oui"/>
    <s v="Oui"/>
    <s v="Avec bœufs et animaux"/>
    <m/>
    <s v="Non"/>
    <s v="Non"/>
    <n v="1"/>
    <s v="Non"/>
    <n v="1"/>
    <s v="Non"/>
    <s v="Non"/>
    <s v="Oui"/>
    <s v="Non"/>
    <s v="Non"/>
    <s v="Non"/>
    <s v="Non"/>
    <s v="Non"/>
    <s v="Non"/>
    <s v="Non"/>
    <s v="Non"/>
    <s v="Non"/>
    <s v="Non"/>
    <s v="Non"/>
    <s v="Non"/>
    <s v="Non"/>
    <s v="Non"/>
    <s v="Non"/>
    <s v="Non"/>
    <n v="1"/>
    <s v="Non"/>
    <s v="Non"/>
    <s v="Non"/>
    <s v="Non"/>
    <s v="Non"/>
    <s v="Non"/>
    <s v="Non"/>
    <s v="Non"/>
    <s v="Non"/>
    <s v="Non"/>
    <s v="Non"/>
    <s v="Non"/>
    <s v="Non"/>
    <s v="Non"/>
    <s v="Non"/>
    <s v="Non"/>
    <s v="Non"/>
    <m/>
    <s v="Tenementum + prato + terris + nemus"/>
    <m/>
    <s v="Enfants"/>
    <s v="Devesset"/>
    <n v="0"/>
    <n v="0"/>
    <n v="0"/>
    <n v="0"/>
    <n v="0"/>
    <n v="0"/>
    <n v="0.5"/>
    <n v="0"/>
    <n v="1"/>
    <n v="0"/>
    <n v="0"/>
    <n v="12.1875"/>
    <n v="0"/>
    <n v="0"/>
    <n v="1"/>
    <n v="0"/>
    <n v="1"/>
    <n v="0"/>
    <n v="0"/>
    <n v="0"/>
    <n v="14.625"/>
    <n v="0"/>
    <n v="0"/>
    <n v="0"/>
    <n v="0"/>
    <n v="0"/>
    <s v="Terris"/>
    <n v="4.4166666666666661"/>
    <n v="0"/>
    <n v="0"/>
    <n v="0"/>
    <n v="4.4166666666666661"/>
    <n v="0"/>
    <s v="Censu et talha"/>
    <s v="Toussaint"/>
    <s v="Mero et mixto imperio"/>
    <s v="De juridictione omnimoda et de mandamento domus Devesseti"/>
    <s v="Devesset, in turre supra portam"/>
    <s v="Girandus Girandi de Pulinaco"/>
    <s v="Andree de La Vileta"/>
    <s v="G. Guadelli"/>
    <s v="Petro filio Bernardo magistri de Chanieto"/>
    <m/>
    <m/>
    <m/>
  </r>
  <r>
    <n v="1791"/>
    <m/>
    <s v="Johannes"/>
    <s v="Brunii"/>
    <s v="Chalmetis de Sanna"/>
    <m/>
    <s v="Filius Martini Brunii"/>
    <m/>
    <s v="H"/>
    <n v="1344"/>
    <x v="4"/>
    <n v="7"/>
    <s v="Raynaud de Fay"/>
    <s v="Promisit esse bonus et fidelis tenementarius domus Devesseti"/>
    <m/>
    <m/>
    <m/>
    <m/>
    <m/>
    <m/>
    <m/>
    <s v="Constractus emphiteotarii"/>
    <s v="Non"/>
    <s v="Non"/>
    <n v="2"/>
    <s v="Non"/>
    <n v="1"/>
    <s v="Non"/>
    <s v="Non"/>
    <s v="Non"/>
    <s v="Non"/>
    <s v="Non"/>
    <s v="Non"/>
    <s v="Non"/>
    <s v="Non"/>
    <s v="Non"/>
    <s v="Non"/>
    <s v="Non"/>
    <s v="Non"/>
    <s v="Non"/>
    <s v="Non"/>
    <s v="Oui"/>
    <s v="Non"/>
    <s v="Non"/>
    <s v="Non"/>
    <s v="Non"/>
    <s v="Non"/>
    <s v="Non"/>
    <s v="Non"/>
    <s v="Non"/>
    <s v="Non"/>
    <s v="Non"/>
    <s v="Non"/>
    <s v="Non"/>
    <s v="Non"/>
    <s v="Non"/>
    <s v="Non"/>
    <s v="Non"/>
    <s v="Non"/>
    <s v="Non"/>
    <s v="Non"/>
    <s v="Non"/>
    <s v="Non"/>
    <s v="Non"/>
    <m/>
    <s v="Petias + petiam + 2 pratum + nemus"/>
    <m/>
    <m/>
    <s v="Saint-Agrève"/>
    <n v="0"/>
    <n v="0"/>
    <n v="0"/>
    <n v="0"/>
    <n v="0"/>
    <n v="0"/>
    <n v="0"/>
    <n v="1.5"/>
    <n v="0"/>
    <n v="0.5"/>
    <n v="0"/>
    <n v="4.265625"/>
    <n v="0"/>
    <n v="0"/>
    <n v="0"/>
    <n v="1.5"/>
    <n v="0"/>
    <n v="0"/>
    <n v="0"/>
    <n v="0"/>
    <n v="3.65625"/>
    <n v="0"/>
    <n v="0"/>
    <n v="0"/>
    <n v="0"/>
    <n v="0"/>
    <m/>
    <n v="0.58333333333333337"/>
    <n v="1"/>
    <n v="0"/>
    <n v="0.5"/>
    <n v="0.63541666666666663"/>
    <n v="0"/>
    <m/>
    <s v="Toussaint"/>
    <m/>
    <m/>
    <s v="Devesset, in turre supra portam"/>
    <s v="Girandus Girandi de Pulinaco"/>
    <s v="Fratre Jacobi de Chalmetis"/>
    <s v="Bonico de Vacharessas"/>
    <m/>
    <m/>
    <m/>
    <m/>
  </r>
  <r>
    <n v="1741"/>
    <m/>
    <s v="Poncius et Petronilla"/>
    <s v="Brunii"/>
    <s v="Chalmetis"/>
    <m/>
    <s v="Filii Guillermus Brunii de Chalmetas condam"/>
    <m/>
    <s v="G"/>
    <n v="1343"/>
    <x v="6"/>
    <n v="8"/>
    <s v="Raynaud de Fay"/>
    <s v="Promisit esse fidelis tenementarius domus Devesseti"/>
    <m/>
    <m/>
    <m/>
    <m/>
    <m/>
    <m/>
    <m/>
    <s v="Constractus emphiteotarii"/>
    <s v="Non"/>
    <s v="Non"/>
    <n v="1"/>
    <s v="Non"/>
    <n v="1"/>
    <s v="Non"/>
    <s v="Non"/>
    <s v="Oui"/>
    <s v="Non"/>
    <s v="Non"/>
    <s v="Non"/>
    <s v="Non"/>
    <s v="Oui"/>
    <s v="Non"/>
    <s v="Non"/>
    <s v="Non"/>
    <s v="Non"/>
    <s v="Non"/>
    <s v="Non"/>
    <n v="5"/>
    <s v="Non"/>
    <s v="Non"/>
    <s v="Non"/>
    <s v="Non"/>
    <s v="Non"/>
    <s v="Non"/>
    <s v="Non"/>
    <s v="Non"/>
    <s v="Non"/>
    <s v="Non"/>
    <s v="Non"/>
    <s v="Non"/>
    <s v="Non"/>
    <s v="Non"/>
    <s v="Non"/>
    <s v="Non"/>
    <s v="Non"/>
    <s v="Non"/>
    <s v="Non"/>
    <s v="Non"/>
    <s v="Non"/>
    <s v="Non"/>
    <m/>
    <s v="Petiam terre + 5 petiam + pratum + nemus + partem calme + partem terre communis + Partem sibi continuentem de calma"/>
    <m/>
    <m/>
    <s v="Borzeza"/>
    <n v="0"/>
    <n v="0"/>
    <n v="0"/>
    <n v="0"/>
    <n v="0"/>
    <n v="0"/>
    <n v="0.5"/>
    <n v="0.25"/>
    <n v="0"/>
    <n v="0"/>
    <n v="0"/>
    <n v="3.046875"/>
    <n v="0"/>
    <n v="0"/>
    <n v="0"/>
    <n v="0"/>
    <n v="0"/>
    <n v="0"/>
    <n v="0"/>
    <n v="0"/>
    <n v="0"/>
    <n v="0"/>
    <n v="0"/>
    <n v="0"/>
    <n v="0"/>
    <n v="0"/>
    <m/>
    <n v="0.66666666666666663"/>
    <n v="0"/>
    <n v="0"/>
    <n v="0"/>
    <n v="0.66666666666666663"/>
    <n v="0"/>
    <m/>
    <s v="Toussaint"/>
    <m/>
    <m/>
    <s v="Devesset, in turre supra portam"/>
    <s v="Girandus Girandi de Pulinaco"/>
    <s v="Guillermus del Cros de la Rocha"/>
    <s v="Petro Malpinha"/>
    <m/>
    <m/>
    <m/>
    <m/>
  </r>
  <r>
    <n v="1803"/>
    <m/>
    <s v="Petrus"/>
    <s v="Carbonis"/>
    <s v="Sancto Agrippavio"/>
    <m/>
    <m/>
    <s v="Pro et nomine Guillermete filie Vitalis Comptoris de Sancto Agrippano condam eius uxoris"/>
    <s v="H"/>
    <n v="1344"/>
    <x v="4"/>
    <n v="13"/>
    <s v="Raynaud de Fay"/>
    <s v="Promisit esse fidelis tenementarius domus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s v="Devesset"/>
    <n v="0"/>
    <n v="0"/>
    <n v="0"/>
    <n v="0"/>
    <n v="0"/>
    <n v="0"/>
    <n v="0"/>
    <n v="0"/>
    <n v="0"/>
    <n v="0"/>
    <n v="0"/>
    <n v="0"/>
    <n v="0"/>
    <n v="0"/>
    <n v="0.5"/>
    <n v="0"/>
    <n v="0"/>
    <n v="0"/>
    <n v="0"/>
    <n v="0"/>
    <n v="2.4375"/>
    <n v="0"/>
    <n v="0"/>
    <n v="0"/>
    <n v="0"/>
    <n v="0"/>
    <s v="Pratum"/>
    <n v="0"/>
    <n v="0"/>
    <n v="0"/>
    <n v="0"/>
    <n v="0"/>
    <n v="0"/>
    <m/>
    <s v="Toussaint"/>
    <m/>
    <m/>
    <s v="Devesset, in turre supra portam"/>
    <s v="Girandus Girandi de Pulinaco"/>
    <s v="Peroneto de Monterotondo"/>
    <s v="Peyruchono del Trenoleto"/>
    <s v="Stephano Solherii"/>
    <m/>
    <m/>
    <m/>
  </r>
  <r>
    <n v="801"/>
    <m/>
    <s v="Petrus et Matheus"/>
    <s v="Chalvents de Mendigolis"/>
    <s v="Mundo"/>
    <s v="Mendigolas ; Parrochie de Tensano"/>
    <s v="Matheus filius Stephani Chalment de Mendigolis"/>
    <s v="Matheus habens autoritatem a dicto suo patre"/>
    <s v="G"/>
    <n v="1343"/>
    <x v="8"/>
    <n v="4"/>
    <s v="Raynaud de Fay"/>
    <s v="Promisit esse fidelis tenementarius domus Devesseti"/>
    <m/>
    <m/>
    <m/>
    <m/>
    <m/>
    <m/>
    <m/>
    <s v="Contractus emphiteotitarii"/>
    <s v="Non"/>
    <s v="Non"/>
    <n v="1"/>
    <s v="Non"/>
    <n v="1"/>
    <m/>
    <n v="1"/>
    <s v="Non"/>
    <s v="Non"/>
    <s v="Non"/>
    <s v="Non"/>
    <s v="Non"/>
    <s v="Non"/>
    <s v="Non"/>
    <s v="Non"/>
    <s v="Non"/>
    <s v="Non"/>
    <s v="Non"/>
    <s v="Non"/>
    <s v="Non"/>
    <s v="Non"/>
    <s v="Non"/>
    <s v="Non"/>
    <s v="Non"/>
    <s v="Non"/>
    <s v="Non"/>
    <s v="Non"/>
    <s v="Non"/>
    <s v="Non"/>
    <s v="Non"/>
    <s v="Non"/>
    <s v="Non"/>
    <s v="Non"/>
    <s v="Non"/>
    <s v="Non"/>
    <s v="Non"/>
    <s v="Non"/>
    <s v="Non"/>
    <s v="Non"/>
    <s v="Non"/>
    <s v="Non"/>
    <s v="Non"/>
    <m/>
    <s v="1 Prata + 1 Pasturale + 1 Nemus"/>
    <m/>
    <s v="Père"/>
    <m/>
    <n v="0"/>
    <n v="0"/>
    <n v="0"/>
    <n v="0"/>
    <n v="0"/>
    <n v="0"/>
    <n v="0"/>
    <n v="0"/>
    <n v="0"/>
    <n v="0"/>
    <n v="0"/>
    <n v="0"/>
    <n v="0"/>
    <n v="0"/>
    <n v="0"/>
    <n v="0"/>
    <n v="0"/>
    <n v="0"/>
    <n v="0"/>
    <n v="0"/>
    <n v="0"/>
    <n v="0"/>
    <n v="0"/>
    <n v="0"/>
    <n v="0"/>
    <n v="0"/>
    <m/>
    <n v="1.6666666666666667"/>
    <n v="0"/>
    <n v="0"/>
    <n v="0"/>
    <n v="1.6666666666666667"/>
    <n v="0"/>
    <m/>
    <s v="Toussaint"/>
    <m/>
    <m/>
    <s v="Devesset"/>
    <s v="Girandus Girandi de Pulinaco"/>
    <s v="Bernardo de Ruppe clerico"/>
    <s v="Gregorio Ferrandi"/>
    <m/>
    <m/>
    <m/>
    <m/>
  </r>
  <r>
    <n v="162"/>
    <m/>
    <s v="Michael"/>
    <s v="Chambonaut"/>
    <s v="Chalmariais"/>
    <m/>
    <m/>
    <s v="Nomine Johanete eius uxoris"/>
    <s v="H"/>
    <n v="1342"/>
    <x v="5"/>
    <n v="18"/>
    <s v="Raynaud de Fay"/>
    <s v="Homo-licgius, justitabilis et expletabilis"/>
    <s v="Talhabilis ad omnimodas voluntatis"/>
    <s v="Non"/>
    <s v="Oui"/>
    <s v="Oui"/>
    <s v="Oui"/>
    <s v="Non"/>
    <m/>
    <m/>
    <s v="Oui"/>
    <s v="Oui"/>
    <s v="Oui"/>
    <s v="Oui"/>
    <s v="Oui"/>
    <s v="Oui"/>
    <s v="Oui"/>
    <s v="Non"/>
    <s v="Oui"/>
    <s v="Oui"/>
    <s v="Non"/>
    <s v="Oui"/>
    <s v="Non"/>
    <s v="Non"/>
    <s v="Non"/>
    <s v="Non"/>
    <s v="Non"/>
    <s v="Non"/>
    <s v="Non"/>
    <s v="Non"/>
    <s v="Non"/>
    <s v="Non"/>
    <s v="Non"/>
    <s v="Non"/>
    <s v="Non"/>
    <s v="Non"/>
    <s v="Non"/>
    <s v="Non"/>
    <s v="Non"/>
    <s v="Non"/>
    <s v="Non"/>
    <s v="Non"/>
    <s v="Non"/>
    <s v="Non"/>
    <s v="Non"/>
    <s v="Non"/>
    <s v="Non"/>
    <s v="Non"/>
    <s v="Non"/>
    <s v="Non"/>
    <s v="Non"/>
    <s v="Oui"/>
    <m/>
    <s v="Possessiones eiux uxoris + baylhagio"/>
    <s v="Loco et territorio de Chalmariais"/>
    <s v="Femme"/>
    <s v="Tence"/>
    <n v="1"/>
    <n v="0"/>
    <n v="0"/>
    <n v="0"/>
    <n v="0"/>
    <n v="0"/>
    <n v="4.5"/>
    <n v="0"/>
    <n v="1"/>
    <n v="0"/>
    <n v="0"/>
    <n v="31.6875"/>
    <n v="0"/>
    <n v="0"/>
    <n v="2"/>
    <n v="4"/>
    <n v="0"/>
    <n v="0"/>
    <n v="0"/>
    <n v="0"/>
    <n v="19.5"/>
    <n v="0"/>
    <n v="0"/>
    <n v="0"/>
    <n v="0"/>
    <n v="0"/>
    <s v="Possessiones eius uxoris"/>
    <n v="10.166666666666668"/>
    <n v="0"/>
    <n v="1"/>
    <n v="0"/>
    <n v="10.187500000000002"/>
    <n v="0"/>
    <m/>
    <s v="Toussaint"/>
    <s v="Merum et mixtum imperio"/>
    <s v="De mandamento juridictione loci de Chalmariais"/>
    <s v="Devesset, in turre supra portam"/>
    <s v="Girandus Girandi de Pulinaco"/>
    <s v="Johanne Meruli"/>
    <s v="Johanne de Sancto Anthonio"/>
    <s v="Jacobo Dens Pontetz"/>
    <m/>
    <m/>
    <m/>
  </r>
  <r>
    <n v="201"/>
    <m/>
    <s v="Jacobus"/>
    <s v="Chambonaut"/>
    <s v="Chalmariais"/>
    <m/>
    <s v="Filius Guillermi Jacobi condam"/>
    <m/>
    <s v="H"/>
    <n v="1342"/>
    <x v="5"/>
    <n v="18"/>
    <s v="Raynaud de Fay"/>
    <s v="Homo-licgius, justitabilis et expletabilis"/>
    <s v="Talhabilis ad omnimodas voluntatis"/>
    <s v="Non"/>
    <s v="Oui"/>
    <s v="Oui"/>
    <s v="Oui"/>
    <s v="Non"/>
    <m/>
    <m/>
    <n v="1"/>
    <n v="1"/>
    <s v="Oui"/>
    <s v="Oui"/>
    <s v="Non"/>
    <s v="Oui"/>
    <s v="Oui"/>
    <s v="Non"/>
    <s v="Oui"/>
    <s v="Oui"/>
    <n v="1"/>
    <s v="Non"/>
    <s v="Non"/>
    <s v="Non"/>
    <s v="Non"/>
    <s v="Non"/>
    <s v="Non"/>
    <s v="Non"/>
    <s v="Non"/>
    <s v="Non"/>
    <s v="Non"/>
    <s v="Non"/>
    <s v="Non"/>
    <s v="Non"/>
    <s v="Non"/>
    <s v="Non"/>
    <s v="Non"/>
    <s v="Non"/>
    <s v="Non"/>
    <s v="Non"/>
    <s v="Non"/>
    <s v="Non"/>
    <s v="Non"/>
    <s v="Non"/>
    <s v="Non"/>
    <s v="Non"/>
    <s v="Non"/>
    <s v="Non"/>
    <s v="Non"/>
    <s v="Non"/>
    <s v="Non"/>
    <s v="Oui"/>
    <m/>
    <s v="Domum + grangiam pratum + bayliaghio"/>
    <s v="Loco et territorio de Chalmariais"/>
    <m/>
    <s v="Tence"/>
    <n v="1.5"/>
    <n v="0"/>
    <n v="0"/>
    <n v="0"/>
    <n v="0"/>
    <n v="0"/>
    <n v="12"/>
    <n v="0"/>
    <n v="0"/>
    <n v="0"/>
    <n v="0"/>
    <n v="58.5"/>
    <n v="1"/>
    <n v="0"/>
    <n v="0"/>
    <n v="0"/>
    <n v="0"/>
    <n v="0"/>
    <n v="0"/>
    <n v="0"/>
    <n v="39"/>
    <n v="0"/>
    <n v="0"/>
    <n v="0"/>
    <n v="0"/>
    <n v="0"/>
    <s v="Petia"/>
    <n v="11"/>
    <n v="0"/>
    <n v="0"/>
    <n v="0"/>
    <n v="11"/>
    <n v="0"/>
    <s v="Censu et talha"/>
    <s v="Toussaint"/>
    <s v="Merum et mixtum imperio"/>
    <s v="De juridictione omnimoda altaque et bessa justitia castri seu loci de Chalmariais"/>
    <s v="Devesset, avant la porte de Devesset"/>
    <s v="Girandus Girandi de Pulinaco"/>
    <s v="Fratre Johanne Meruli ordinis Sancti Johanis Jherosolimitani"/>
    <s v="Petrum de Casalibus"/>
    <s v="Guillermo Boteria de Capella"/>
    <m/>
    <m/>
    <m/>
  </r>
  <r>
    <n v="1133"/>
    <m/>
    <s v="Michaela"/>
    <s v="Chanaleira"/>
    <s v="Gorgoras"/>
    <m/>
    <m/>
    <s v="Pro consanguineris suis"/>
    <s v="F"/>
    <n v="1343"/>
    <x v="8"/>
    <n v="29"/>
    <s v="Raynaud de Fay"/>
    <m/>
    <m/>
    <m/>
    <m/>
    <m/>
    <m/>
    <m/>
    <m/>
    <m/>
    <m/>
    <m/>
    <m/>
    <m/>
    <m/>
    <m/>
    <m/>
    <m/>
    <m/>
    <m/>
    <m/>
    <m/>
    <m/>
    <m/>
    <m/>
    <m/>
    <m/>
    <m/>
    <m/>
    <m/>
    <m/>
    <m/>
    <m/>
    <m/>
    <m/>
    <m/>
    <m/>
    <m/>
    <m/>
    <m/>
    <m/>
    <m/>
    <m/>
    <m/>
    <m/>
    <m/>
    <m/>
    <m/>
    <m/>
    <m/>
    <m/>
    <m/>
    <m/>
    <m/>
    <m/>
    <s v="Sa famille"/>
    <s v="Pas mesure indiquée, mais probablement Borzezam"/>
    <n v="0"/>
    <n v="0"/>
    <n v="0"/>
    <n v="0"/>
    <n v="0"/>
    <n v="0"/>
    <n v="2"/>
    <n v="0"/>
    <n v="0"/>
    <n v="0"/>
    <n v="0"/>
    <n v="9.75"/>
    <n v="0"/>
    <n v="0"/>
    <n v="2"/>
    <n v="0"/>
    <n v="0"/>
    <n v="0"/>
    <n v="0"/>
    <n v="0"/>
    <n v="9.75"/>
    <n v="0"/>
    <n v="0"/>
    <n v="0"/>
    <n v="0"/>
    <n v="0"/>
    <m/>
    <n v="0.66666666666666663"/>
    <n v="2"/>
    <n v="0"/>
    <n v="2"/>
    <n v="0.79166666666666663"/>
    <n v="0"/>
    <m/>
    <m/>
    <m/>
    <m/>
    <m/>
    <m/>
    <m/>
    <m/>
    <m/>
    <m/>
    <m/>
    <m/>
  </r>
  <r>
    <n v="792"/>
    <s v="Marge illisible"/>
    <s v="Johanes"/>
    <s v="Chanclausus Dorba"/>
    <s v="Chanclausa"/>
    <m/>
    <m/>
    <m/>
    <s v="H"/>
    <n v="1343"/>
    <x v="6"/>
    <n v="24"/>
    <s v="Raynaud de Fay"/>
    <s v="Promisit esse fidelis tenementarius domus Devesseti"/>
    <m/>
    <m/>
    <m/>
    <m/>
    <m/>
    <m/>
    <m/>
    <m/>
    <s v="Non"/>
    <s v="Non"/>
    <n v="4"/>
    <s v="Non"/>
    <s v="Non"/>
    <s v="Non"/>
    <n v="1"/>
    <s v="Non"/>
    <s v="Non"/>
    <s v="Non"/>
    <s v="Non"/>
    <s v="Non"/>
    <s v="Non"/>
    <s v="Non"/>
    <s v="Non"/>
    <s v="Non"/>
    <s v="Non"/>
    <s v="Non"/>
    <s v="Non"/>
    <n v="3"/>
    <s v="Non"/>
    <n v="1"/>
    <s v="Non"/>
    <s v="Non"/>
    <s v="Non"/>
    <s v="Non"/>
    <s v="Non"/>
    <s v="Non"/>
    <s v="Non"/>
    <s v="Non"/>
    <s v="Non"/>
    <s v="Non"/>
    <s v="Non"/>
    <s v="Non"/>
    <s v="Non"/>
    <s v="Non"/>
    <s v="Non"/>
    <s v="Non"/>
    <s v="Non"/>
    <s v="Non"/>
    <s v="Non"/>
    <s v="Non"/>
    <m/>
    <s v="4 Prata + 3 Petiae + 1 Pasturale + 1 Terminus"/>
    <m/>
    <m/>
    <s v="Fay"/>
    <n v="0"/>
    <n v="0"/>
    <n v="0"/>
    <n v="0"/>
    <n v="0"/>
    <n v="0"/>
    <n v="1"/>
    <n v="0"/>
    <n v="0"/>
    <n v="0"/>
    <n v="0"/>
    <n v="4.875"/>
    <n v="0"/>
    <n v="0"/>
    <n v="1"/>
    <n v="0"/>
    <n v="0"/>
    <n v="0"/>
    <n v="0"/>
    <n v="0"/>
    <n v="4.875"/>
    <n v="0"/>
    <n v="0"/>
    <n v="0"/>
    <n v="0"/>
    <n v="0"/>
    <m/>
    <n v="0.25"/>
    <n v="0"/>
    <n v="0"/>
    <n v="0"/>
    <n v="0.25"/>
    <n v="0"/>
    <m/>
    <s v="Toussaint"/>
    <s v="De juridictine et senhoria"/>
    <s v="Castri Devesseti"/>
    <s v="Devesset, in turre supra portam"/>
    <s v="Girandus Girandi de Pulinaco"/>
    <s v="Durando Matello"/>
    <s v="Johane Sabaterii de Chambone"/>
    <m/>
    <m/>
    <m/>
    <s v="In quadam compositione olim facta inter dominum aniciensis episcopum et domum Devesseti"/>
  </r>
  <r>
    <n v="1493"/>
    <m/>
    <s v="Jacobus"/>
    <s v="Chareira"/>
    <s v="Villalonia"/>
    <m/>
    <m/>
    <s v="Pro Mathei eius fratrem"/>
    <s v="H"/>
    <n v="1342"/>
    <x v="3"/>
    <s v="?"/>
    <s v="Raynaud de Fay"/>
    <m/>
    <m/>
    <m/>
    <m/>
    <m/>
    <m/>
    <m/>
    <m/>
    <s v="Constractus emphiteotarii"/>
    <s v="Non"/>
    <s v="Non"/>
    <n v="2"/>
    <s v="Non"/>
    <s v="Non"/>
    <s v="Non"/>
    <s v="Non"/>
    <s v="Non"/>
    <s v="Non"/>
    <s v="Non"/>
    <s v="Non"/>
    <s v="Non"/>
    <s v="Non"/>
    <s v="Non"/>
    <s v="Non"/>
    <s v="Non"/>
    <s v="Non"/>
    <s v="Non"/>
    <s v="Non"/>
    <s v="Non"/>
    <s v="Non"/>
    <s v="Non"/>
    <s v="Non"/>
    <s v="Non"/>
    <s v="Non"/>
    <s v="Non"/>
    <s v="Non"/>
    <s v="Non"/>
    <s v="Non"/>
    <s v="Non"/>
    <s v="Non"/>
    <s v="Non"/>
    <s v="Non"/>
    <s v="Non"/>
    <s v="Non"/>
    <s v="Non"/>
    <s v="Non"/>
    <s v="Non"/>
    <s v="Non"/>
    <s v="Non"/>
    <s v="Non"/>
    <s v="Non"/>
    <m/>
    <s v="2 pratum"/>
    <m/>
    <s v="Frère"/>
    <m/>
    <n v="0"/>
    <n v="0"/>
    <n v="0"/>
    <n v="0"/>
    <n v="0"/>
    <n v="0"/>
    <n v="0"/>
    <n v="0"/>
    <n v="0"/>
    <n v="0"/>
    <n v="0"/>
    <n v="0"/>
    <n v="0"/>
    <n v="0"/>
    <n v="0"/>
    <n v="0"/>
    <n v="0"/>
    <n v="0"/>
    <n v="0"/>
    <n v="0"/>
    <n v="0"/>
    <n v="0"/>
    <n v="0"/>
    <n v="0"/>
    <n v="0"/>
    <n v="0"/>
    <s v="Duarum prati"/>
    <n v="0.5"/>
    <n v="0"/>
    <n v="0"/>
    <n v="0"/>
    <n v="0.5"/>
    <n v="0"/>
    <m/>
    <s v="Toussaint"/>
    <m/>
    <m/>
    <s v="Devesset, in quoquina"/>
    <s v="Girandus Girandi de Pulinaco"/>
    <s v="Petro de Casalibus"/>
    <s v="Johanne Meruli"/>
    <s v="Petro Del Cros"/>
    <m/>
    <m/>
    <m/>
  </r>
  <r>
    <n v="1873"/>
    <m/>
    <s v="Johannes"/>
    <s v="Clementis"/>
    <s v="Socheria"/>
    <s v="Habitator de Romenas"/>
    <s v="Filius Guillermi Clementis de Socheria"/>
    <m/>
    <s v="H"/>
    <n v="1346"/>
    <x v="12"/>
    <n v="30"/>
    <s v="Raynaud de Fay"/>
    <m/>
    <m/>
    <m/>
    <m/>
    <m/>
    <m/>
    <m/>
    <m/>
    <m/>
    <s v="Non"/>
    <s v="Non"/>
    <s v="Non"/>
    <s v="Non"/>
    <s v="Non"/>
    <s v="Non"/>
    <s v="Non"/>
    <s v="Non"/>
    <s v="Non"/>
    <s v="Non"/>
    <s v="Non"/>
    <s v="Non"/>
    <s v="Non"/>
    <s v="Non"/>
    <n v="1"/>
    <s v="Non"/>
    <s v="Non"/>
    <s v="Non"/>
    <s v="Non"/>
    <s v="Non"/>
    <s v="Non"/>
    <s v="Non"/>
    <s v="Non"/>
    <s v="Non"/>
    <s v="Non"/>
    <s v="Non"/>
    <s v="Non"/>
    <s v="Non"/>
    <s v="Non"/>
    <s v="Non"/>
    <s v="Non"/>
    <s v="Non"/>
    <s v="Non"/>
    <s v="Non"/>
    <s v="Non"/>
    <s v="Non"/>
    <s v="Non"/>
    <s v="Non"/>
    <s v="Non"/>
    <s v="Non"/>
    <s v="Non"/>
    <s v="Non"/>
    <s v="Pro et nomine levate molendini sui de Romigeriis"/>
    <s v="Molendinum"/>
    <m/>
    <m/>
    <s v="Devesset"/>
    <n v="0"/>
    <n v="0"/>
    <n v="0"/>
    <n v="0"/>
    <n v="0"/>
    <n v="0"/>
    <n v="0"/>
    <n v="0"/>
    <n v="0"/>
    <n v="0"/>
    <n v="0"/>
    <n v="0"/>
    <n v="0"/>
    <n v="0"/>
    <n v="0"/>
    <n v="0"/>
    <n v="1"/>
    <n v="0"/>
    <n v="0"/>
    <n v="0"/>
    <n v="9.75"/>
    <n v="0"/>
    <n v="0"/>
    <n v="0"/>
    <n v="0"/>
    <n v="0"/>
    <m/>
    <n v="0"/>
    <n v="0"/>
    <n v="0"/>
    <n v="0"/>
    <n v="0"/>
    <n v="0"/>
    <m/>
    <s v="Toussaint"/>
    <m/>
    <m/>
    <s v="Devesset"/>
    <s v="Girandus Girandi de Pulinaco"/>
    <s v="Johanne de Hospitali de Amonaco clerico"/>
    <s v="Petro Fayoli Romero de Chambeto"/>
    <m/>
    <m/>
    <m/>
    <m/>
  </r>
  <r>
    <n v="1361"/>
    <s v="Et début 135"/>
    <s v="Johannes"/>
    <s v="Compatoris"/>
    <s v="Villa Nova Devesseti"/>
    <s v="Sancto Agrippavio"/>
    <s v="Liberorum suorum"/>
    <s v="Nomine Caterine de Villa Novo eius uxoris"/>
    <s v="H"/>
    <n v="1343"/>
    <x v="3"/>
    <n v="12"/>
    <s v="Raynaud de Fay"/>
    <s v="Mulier-licgia"/>
    <m/>
    <s v="Non"/>
    <s v="Oui"/>
    <s v="Oui"/>
    <s v="Oui"/>
    <s v="Non"/>
    <m/>
    <m/>
    <n v="2"/>
    <n v="5"/>
    <n v="9"/>
    <s v="Non"/>
    <n v="1"/>
    <s v="Non"/>
    <s v="Oui"/>
    <n v="1"/>
    <s v="Non"/>
    <s v="Non"/>
    <s v="Non"/>
    <s v="Non"/>
    <s v="Non"/>
    <s v="Non"/>
    <s v="Non"/>
    <n v="2"/>
    <s v="Non"/>
    <s v="Non"/>
    <s v="Non"/>
    <s v="Non"/>
    <s v="Non"/>
    <s v="Non"/>
    <s v="Non"/>
    <n v="1"/>
    <s v="Non"/>
    <s v="Non"/>
    <s v="Non"/>
    <s v="Non"/>
    <n v="1"/>
    <s v="Non"/>
    <s v="Non"/>
    <s v="Non"/>
    <s v="Non"/>
    <s v="Non"/>
    <s v="Non"/>
    <s v="Non"/>
    <s v="Non"/>
    <s v="Non"/>
    <s v="Non"/>
    <s v="Non"/>
    <s v="Non"/>
    <s v="Non"/>
    <m/>
    <s v="2 Domos + sanhatz + 4 orti + 7 prati + 2 partem pasturale + 2 ouchiae + terra + 2 pasturalia + nemus + blachia"/>
    <m/>
    <s v="Femme + enfants"/>
    <s v="Devesset"/>
    <n v="2"/>
    <n v="0"/>
    <n v="0"/>
    <n v="0"/>
    <n v="0"/>
    <n v="0"/>
    <n v="3"/>
    <n v="1"/>
    <n v="0"/>
    <n v="0"/>
    <n v="0"/>
    <n v="17.0625"/>
    <n v="0"/>
    <n v="0"/>
    <n v="6"/>
    <n v="4"/>
    <n v="0"/>
    <n v="0"/>
    <n v="0"/>
    <n v="0"/>
    <n v="39"/>
    <n v="0"/>
    <n v="0"/>
    <n v="0"/>
    <n v="0"/>
    <n v="0"/>
    <s v="3 orti + 6 prati + partem pasturale + ouchiae + terra et pasturalia + 2 nemus + domo, chambro, grangia uxoris sue et ortis qui habuit a dicta Jalaa + 1 ortum + partem pasturalium commune + 1 domus"/>
    <n v="11.75"/>
    <n v="1"/>
    <n v="4"/>
    <n v="0"/>
    <n v="11.875"/>
    <n v="0.25"/>
    <m/>
    <s v="Toussaint"/>
    <m/>
    <m/>
    <m/>
    <s v="Girandus Girandi de Pulinaco"/>
    <m/>
    <m/>
    <m/>
    <m/>
    <m/>
    <m/>
  </r>
  <r>
    <n v="1651"/>
    <m/>
    <s v="Vitalis"/>
    <s v="Comptoris"/>
    <s v="Lermet"/>
    <m/>
    <m/>
    <s v="Nomine Beatricis eius uxoris"/>
    <s v="H"/>
    <n v="1343"/>
    <x v="0"/>
    <n v="4"/>
    <s v="Raynaud de Fay"/>
    <s v="Promisit esse bonus et fidelis tenementarius domum Devesseti"/>
    <m/>
    <m/>
    <m/>
    <m/>
    <m/>
    <m/>
    <m/>
    <s v="Constractus emphiteotarii"/>
    <s v="Non"/>
    <s v="Non"/>
    <n v="1"/>
    <s v="Non"/>
    <n v="1"/>
    <s v="Non"/>
    <s v="Non"/>
    <s v="Oui"/>
    <s v="Non"/>
    <s v="Non"/>
    <s v="Non"/>
    <s v="Non"/>
    <s v="Non"/>
    <s v="Non"/>
    <s v="Non"/>
    <s v="Non"/>
    <s v="Non"/>
    <s v="Non"/>
    <s v="Non"/>
    <s v="Non"/>
    <s v="Non"/>
    <s v="Non"/>
    <s v="Non"/>
    <s v="Non"/>
    <s v="Non"/>
    <s v="Non"/>
    <s v="Non"/>
    <s v="Non"/>
    <s v="Non"/>
    <s v="Non"/>
    <s v="Non"/>
    <s v="Non"/>
    <s v="Non"/>
    <s v="Non"/>
    <s v="Non"/>
    <s v="Non"/>
    <s v="Non"/>
    <s v="Non"/>
    <s v="Non"/>
    <s v="Non"/>
    <s v="Non"/>
    <s v="Non"/>
    <m/>
    <s v="2 terre petiam + pratum + nemus"/>
    <m/>
    <m/>
    <s v="Devesset"/>
    <n v="0"/>
    <n v="0"/>
    <n v="0"/>
    <n v="0"/>
    <n v="0"/>
    <n v="0"/>
    <n v="1"/>
    <n v="0"/>
    <n v="0"/>
    <n v="0"/>
    <n v="0"/>
    <n v="4.875"/>
    <n v="0"/>
    <n v="0"/>
    <n v="0"/>
    <n v="0"/>
    <n v="0"/>
    <n v="0"/>
    <n v="1.2"/>
    <n v="0"/>
    <n v="1.4624999999999999"/>
    <n v="0"/>
    <n v="0"/>
    <n v="0"/>
    <n v="0"/>
    <n v="0"/>
    <m/>
    <n v="1.0833333333333333"/>
    <n v="1"/>
    <n v="0"/>
    <n v="0"/>
    <n v="1.125"/>
    <n v="0"/>
    <m/>
    <s v="Toussaint"/>
    <s v="Mero et mixto imperio"/>
    <s v="De mandamento et in mandamento et omnimoda juridictione castri Devesseti"/>
    <s v="Devesset, in turre supra portam"/>
    <s v="Girandus Girandi de Pulinaco"/>
    <s v="Fratre Johanne Meruli"/>
    <s v="Matheo Morelli de Ruppe Paula"/>
    <m/>
    <m/>
    <m/>
    <m/>
  </r>
  <r>
    <n v="1492"/>
    <m/>
    <s v="Petrus"/>
    <s v="Curtilis"/>
    <s v="Villa Longia"/>
    <m/>
    <m/>
    <m/>
    <s v="H"/>
    <n v="1342"/>
    <x v="3"/>
    <s v="?"/>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n v="1"/>
    <s v="Non"/>
    <s v="Non"/>
    <s v="Non"/>
    <s v="Non"/>
    <s v="Non"/>
    <s v="Non"/>
    <s v="Non"/>
    <s v="Non"/>
    <m/>
    <s v="Petiam terre + lenata"/>
    <m/>
    <m/>
    <m/>
    <n v="0"/>
    <n v="0"/>
    <n v="0"/>
    <n v="0"/>
    <n v="0"/>
    <n v="0"/>
    <n v="0"/>
    <n v="0"/>
    <n v="0"/>
    <n v="0"/>
    <n v="0"/>
    <n v="0"/>
    <n v="0"/>
    <n v="0"/>
    <n v="0"/>
    <n v="0"/>
    <n v="0"/>
    <n v="0"/>
    <n v="0"/>
    <n v="0"/>
    <n v="0"/>
    <n v="0"/>
    <n v="0"/>
    <n v="0"/>
    <n v="0"/>
    <n v="0"/>
    <s v="Petie terra + lenata"/>
    <n v="0.75"/>
    <n v="0"/>
    <n v="0"/>
    <n v="0"/>
    <n v="0.75"/>
    <n v="0"/>
    <m/>
    <s v="Toussaint"/>
    <m/>
    <m/>
    <s v="Devesset, in quoquina"/>
    <s v="Girandus Girandi de Pulinaco"/>
    <s v="Petro de Casalibus"/>
    <s v="Johanne Meruli"/>
    <s v="Petro Del Cros"/>
    <m/>
    <m/>
    <m/>
  </r>
  <r>
    <n v="1271"/>
    <m/>
    <s v="Poncius"/>
    <s v="D'Avenas"/>
    <s v="Avenas"/>
    <m/>
    <m/>
    <m/>
    <s v="H"/>
    <n v="1343"/>
    <x v="2"/>
    <n v="10"/>
    <s v="Raynaud de Fay"/>
    <s v="Homo-licgius"/>
    <m/>
    <m/>
    <m/>
    <m/>
    <m/>
    <m/>
    <m/>
    <m/>
    <n v="2"/>
    <n v="2"/>
    <n v="1"/>
    <s v="Non"/>
    <s v="Non"/>
    <s v="Non"/>
    <s v="Non"/>
    <s v="Non"/>
    <s v="Non"/>
    <s v="Non"/>
    <s v="Non"/>
    <s v="Non"/>
    <s v="Non"/>
    <s v="Non"/>
    <s v="Non"/>
    <s v="Non"/>
    <s v="Non"/>
    <s v="Non"/>
    <s v="Non"/>
    <n v="3"/>
    <s v="Non"/>
    <s v="Non"/>
    <s v="Non"/>
    <s v="Non"/>
    <s v="Non"/>
    <s v="Non"/>
    <s v="Non"/>
    <n v="2"/>
    <s v="Non"/>
    <s v="Non"/>
    <s v="Non"/>
    <s v="Non"/>
    <s v="Non"/>
    <s v="Non"/>
    <s v="Non"/>
    <s v="Non"/>
    <s v="Non"/>
    <s v="Non"/>
    <s v="Non"/>
    <s v="Non"/>
    <s v="Non"/>
    <s v="Non"/>
    <m/>
    <s v="2 domus + 2 orti + 3 petiae + 1 pratum + 2 vineae"/>
    <m/>
    <m/>
    <s v="Brione"/>
    <n v="0.5"/>
    <n v="0"/>
    <n v="0"/>
    <n v="0"/>
    <n v="0"/>
    <n v="0"/>
    <n v="0"/>
    <n v="0"/>
    <n v="0"/>
    <n v="0"/>
    <n v="0"/>
    <n v="0"/>
    <n v="0"/>
    <n v="0"/>
    <n v="1"/>
    <n v="0"/>
    <n v="0"/>
    <n v="0"/>
    <n v="0"/>
    <n v="0"/>
    <n v="4.875"/>
    <n v="1"/>
    <n v="0"/>
    <n v="0"/>
    <n v="0"/>
    <n v="0"/>
    <m/>
    <n v="8.3333333333333329E-2"/>
    <n v="0"/>
    <n v="0"/>
    <n v="0"/>
    <n v="8.3333333333333329E-2"/>
    <n v="0"/>
    <m/>
    <s v="Toussaint"/>
    <s v="De dominio et senhoria"/>
    <s v="Domus Devesseti"/>
    <s v="Apud Avenas, in domo dicti Poncii"/>
    <s v="Girandus Girandi de Pulinaco"/>
    <s v="Fratre Johane Meruli"/>
    <s v="Guillermo Grosseti"/>
    <s v="Vitaloro filio Johannis Ruffi de Aymoneto de Sancto Agrippavio"/>
    <m/>
    <m/>
    <m/>
  </r>
  <r>
    <n v="1272"/>
    <m/>
    <s v="Martinus et Johannes"/>
    <s v="D'Avenas"/>
    <s v="Avenas"/>
    <m/>
    <s v="Johannes filius Michaelis d'Avenas condam et nepos dicti Martini"/>
    <s v="Johannis nomine fratrum et sororum suorum"/>
    <s v="G"/>
    <n v="1343"/>
    <x v="2"/>
    <n v="10"/>
    <s v="Raynaud de Fay"/>
    <s v="Homo-licgius"/>
    <m/>
    <m/>
    <m/>
    <m/>
    <m/>
    <m/>
    <m/>
    <m/>
    <s v="Oui"/>
    <s v="Oui"/>
    <s v="Oui"/>
    <s v="Oui"/>
    <s v="Non"/>
    <s v="Non"/>
    <s v="Non"/>
    <s v="Non"/>
    <s v="Non"/>
    <s v="Non"/>
    <s v="Non"/>
    <s v="Non"/>
    <s v="Non"/>
    <s v="Non"/>
    <s v="Non"/>
    <s v="Non"/>
    <s v="Non"/>
    <s v="Non"/>
    <s v="Non"/>
    <n v="1"/>
    <s v="Non"/>
    <s v="Non"/>
    <s v="Non"/>
    <s v="Non"/>
    <s v="Non"/>
    <s v="Non"/>
    <s v="Non"/>
    <s v="Oui"/>
    <s v="Non"/>
    <s v="Non"/>
    <s v="Non"/>
    <s v="Non"/>
    <s v="Non"/>
    <s v="Non"/>
    <s v="Non"/>
    <s v="Non"/>
    <s v="Non"/>
    <s v="Non"/>
    <s v="Non"/>
    <s v="Non"/>
    <s v="Non"/>
    <s v="Oui"/>
    <m/>
    <s v="Domos + possessiones + petia + pratum"/>
    <s v="Apud Avenas et in loco et territorio eiusdem"/>
    <s v="Frères et sœurs"/>
    <s v="Brione"/>
    <n v="0.5"/>
    <n v="0"/>
    <n v="0"/>
    <n v="0"/>
    <n v="0"/>
    <n v="0"/>
    <n v="0"/>
    <n v="0"/>
    <n v="0"/>
    <n v="0"/>
    <n v="0"/>
    <n v="0"/>
    <n v="0"/>
    <n v="0"/>
    <n v="0"/>
    <n v="0"/>
    <n v="0"/>
    <n v="1"/>
    <n v="0"/>
    <n v="0"/>
    <n v="9.75"/>
    <n v="0"/>
    <n v="0"/>
    <n v="0"/>
    <n v="0"/>
    <n v="0"/>
    <m/>
    <n v="8.3333333333333329E-2"/>
    <n v="0"/>
    <n v="0"/>
    <n v="0"/>
    <n v="8.3333333333333329E-2"/>
    <n v="0"/>
    <m/>
    <s v="Toussaint"/>
    <s v="De dominio et senhoria"/>
    <s v="Castri Devesseti"/>
    <s v="Apud Avenas, in domo dicti Poncii"/>
    <s v="Girandus Girandi de Pulinaco"/>
    <s v="Fratre Johane Meruli"/>
    <s v="Guillermo Grosseti"/>
    <s v="Vitaloro filio Johannis Ruffi de Aymoneto de Sancto Agrippavio"/>
    <m/>
    <m/>
    <m/>
  </r>
  <r>
    <n v="1281"/>
    <m/>
    <s v="Johannis"/>
    <s v="D'Avenas"/>
    <s v="Avenas"/>
    <m/>
    <m/>
    <m/>
    <s v="H"/>
    <n v="1343"/>
    <x v="2"/>
    <n v="10"/>
    <s v="Raynaud de Fay"/>
    <s v="Homo-licgius"/>
    <m/>
    <m/>
    <m/>
    <m/>
    <m/>
    <m/>
    <m/>
    <s v="Constractus emphiteotarii"/>
    <s v="Oui"/>
    <s v="Oui"/>
    <s v="Oui"/>
    <s v="Oui"/>
    <s v="Non"/>
    <s v="Non"/>
    <s v="Oui"/>
    <s v="Non"/>
    <s v="Oui"/>
    <s v="Oui"/>
    <s v="Non"/>
    <s v="Non"/>
    <s v="Non"/>
    <s v="Non"/>
    <s v="Non"/>
    <s v="Non"/>
    <s v="Non"/>
    <s v="Non"/>
    <s v="Non"/>
    <n v="1"/>
    <s v="Non"/>
    <s v="Non"/>
    <s v="Non"/>
    <s v="Non"/>
    <s v="Non"/>
    <s v="Non"/>
    <s v="Non"/>
    <s v="Oui"/>
    <s v="Non"/>
    <s v="Non"/>
    <s v="Non"/>
    <s v="Non"/>
    <s v="Non"/>
    <s v="Non"/>
    <s v="Non"/>
    <s v="Non"/>
    <s v="Non"/>
    <s v="Non"/>
    <s v="Non"/>
    <s v="Non"/>
    <s v="Non"/>
    <s v="Non"/>
    <m/>
    <s v="Domos + possessiones + petiam"/>
    <s v="Loco et territorio d'Avenas"/>
    <m/>
    <m/>
    <n v="0"/>
    <n v="0"/>
    <n v="0"/>
    <n v="0"/>
    <n v="0"/>
    <n v="0"/>
    <n v="0"/>
    <n v="0"/>
    <n v="0"/>
    <n v="0"/>
    <n v="0"/>
    <n v="0"/>
    <n v="0"/>
    <n v="0"/>
    <n v="0"/>
    <n v="0"/>
    <n v="0"/>
    <n v="0"/>
    <n v="0"/>
    <n v="0"/>
    <n v="0"/>
    <n v="0"/>
    <n v="0"/>
    <n v="0"/>
    <n v="0"/>
    <n v="0"/>
    <m/>
    <n v="0"/>
    <n v="3"/>
    <n v="0"/>
    <n v="0"/>
    <n v="0.125"/>
    <n v="0"/>
    <m/>
    <s v="Toussaint"/>
    <m/>
    <m/>
    <s v="Apud Avenas, in domo dicti Poncii"/>
    <s v="Girandus Girandi de Pulinaco"/>
    <s v="Fratre Johane Meruli"/>
    <s v="Guillermo Grosseti"/>
    <s v="Vitaloro filio Johannis Ruffi de Aymoneto de Sancto Agrippavio"/>
    <m/>
    <m/>
    <m/>
  </r>
  <r>
    <n v="211"/>
    <m/>
    <s v="Laurens"/>
    <s v="De Calma"/>
    <s v="Chalmariais"/>
    <m/>
    <m/>
    <s v="Johannete nepos Johannete Penarde uxoris Johannis filli dicti Laurens"/>
    <s v="H"/>
    <n v="1342"/>
    <x v="5"/>
    <n v="18"/>
    <s v="Raynaud de Fay"/>
    <s v="Homo-licgius, justitabilis et expletabilis"/>
    <s v="Talhabilis ad omnimodas voluntatis"/>
    <s v="Non"/>
    <s v="Oui"/>
    <s v="Oui"/>
    <s v="Oui"/>
    <s v="Non"/>
    <m/>
    <m/>
    <n v="2"/>
    <n v="2"/>
    <s v="Oui"/>
    <s v="Oui"/>
    <s v="Oui"/>
    <s v="Non"/>
    <s v="Oui"/>
    <s v="Non"/>
    <s v="Oui"/>
    <s v="Oui"/>
    <s v="Non"/>
    <s v="Non"/>
    <s v="Oui"/>
    <s v="Non"/>
    <s v="Non"/>
    <s v="Non"/>
    <s v="Non"/>
    <s v="Non"/>
    <s v="Non"/>
    <s v="Non"/>
    <s v="Non"/>
    <s v="Non"/>
    <s v="Non"/>
    <s v="Non"/>
    <s v="Non"/>
    <s v="Non"/>
    <s v="Non"/>
    <s v="Non"/>
    <s v="Non"/>
    <s v="Non"/>
    <s v="Non"/>
    <s v="Non"/>
    <s v="Non"/>
    <s v="Non"/>
    <s v="Non"/>
    <s v="Non"/>
    <s v="Non"/>
    <s v="Non"/>
    <s v="Non"/>
    <s v="Non"/>
    <s v="Non"/>
    <s v="Oui"/>
    <m/>
    <s v="Domum + ortum + calmis + possessiones nepos uxoris eius filii"/>
    <s v="Territorio de Chalmariais"/>
    <s v="Petite-nièce"/>
    <s v="Tence"/>
    <n v="3.5"/>
    <n v="0"/>
    <n v="0"/>
    <n v="0"/>
    <n v="0"/>
    <n v="0"/>
    <n v="8.5"/>
    <n v="1"/>
    <n v="0"/>
    <n v="0"/>
    <n v="0"/>
    <n v="43.875"/>
    <n v="0"/>
    <n v="0"/>
    <n v="14"/>
    <n v="0"/>
    <n v="0"/>
    <n v="0"/>
    <n v="0"/>
    <n v="0"/>
    <n v="68.25"/>
    <n v="0"/>
    <n v="0"/>
    <n v="0"/>
    <n v="0"/>
    <n v="0"/>
    <s v="Baylhagio + calmis + possessiones nepos uxoris eius filii"/>
    <n v="19.583333333333332"/>
    <n v="0"/>
    <n v="1.5"/>
    <n v="0"/>
    <n v="19.614583333333332"/>
    <n v="0"/>
    <s v="Censu et talha"/>
    <s v="Toussaint"/>
    <s v="Merum et mixtum imperio"/>
    <s v="De omnimoda juridictione et de mandamento loci seu castri de Chalmariais"/>
    <s v="Devesset, avant la porte de Devesset"/>
    <s v="Girandus Girandi de Pulinaco"/>
    <s v="Fratre Petro de Casalibus"/>
    <s v="Fratre Johanne Meruli ordinis Sancti Johanis Jherosolimitani"/>
    <s v="Guillermo Boteria de Capella parochie Sancti Agreppavii"/>
    <m/>
    <m/>
    <m/>
  </r>
  <r>
    <n v="271"/>
    <m/>
    <s v="Johanes"/>
    <s v="De Chalmetis"/>
    <s v="Chalmetis"/>
    <m/>
    <m/>
    <m/>
    <s v="H"/>
    <n v="1343"/>
    <x v="0"/>
    <n v="2"/>
    <s v="Renaud de Fay"/>
    <s v="Homo-licgius, justitabilis et expletabilis"/>
    <s v="Talhabilis et expletabilis ad omnimodas voluntatis"/>
    <s v="Non"/>
    <s v="Oui"/>
    <s v="Oui"/>
    <s v="Oui"/>
    <s v="Non"/>
    <m/>
    <s v="Contractus emphiteotitarii"/>
    <n v="1"/>
    <n v="1"/>
    <s v="Oui"/>
    <s v="Oui"/>
    <s v="Oui"/>
    <s v="Oui"/>
    <s v="Oui"/>
    <s v="Oui"/>
    <s v="Oui"/>
    <s v="Oui"/>
    <s v="Non"/>
    <s v="Non"/>
    <s v="Non"/>
    <s v="Non"/>
    <s v="Non"/>
    <s v="Non"/>
    <s v="Non"/>
    <s v="Non"/>
    <s v="Non"/>
    <s v="Non"/>
    <s v="Non"/>
    <s v="Non"/>
    <s v="Non"/>
    <s v="Non"/>
    <s v="Non"/>
    <s v="Non"/>
    <s v="Non"/>
    <s v="Non"/>
    <s v="Non"/>
    <s v="Non"/>
    <s v="Non"/>
    <s v="Non"/>
    <s v="Non"/>
    <s v="Non"/>
    <s v="Non"/>
    <s v="Non"/>
    <s v="Non"/>
    <s v="Non"/>
    <s v="Non"/>
    <s v="Non"/>
    <s v="Non"/>
    <s v="Oui"/>
    <m/>
    <m/>
    <s v="Chalmetas"/>
    <m/>
    <s v="Tence"/>
    <n v="1.25"/>
    <n v="0"/>
    <n v="0"/>
    <n v="0"/>
    <n v="4"/>
    <n v="0"/>
    <n v="0.5"/>
    <n v="0"/>
    <n v="1"/>
    <n v="0"/>
    <n v="0"/>
    <n v="168.1875"/>
    <n v="2"/>
    <n v="0"/>
    <n v="0"/>
    <n v="1"/>
    <n v="1"/>
    <n v="0"/>
    <n v="0"/>
    <n v="0"/>
    <n v="90.1875"/>
    <n v="0"/>
    <n v="0"/>
    <n v="0"/>
    <n v="0"/>
    <n v="0"/>
    <s v="Bayliagio + Nemora"/>
    <n v="32"/>
    <n v="0"/>
    <n v="0"/>
    <n v="0"/>
    <n v="32"/>
    <n v="0"/>
    <s v="Censu et talha"/>
    <s v="Toussaint"/>
    <s v="Merum et mixtum imperium "/>
    <s v="Mandamentum et juridictione castri seu loci de Chalmariais"/>
    <s v="Devesset, in turre supra portam"/>
    <s v="Girandus Girandi de Pulinaco"/>
    <s v="Fratre Johane Meruli"/>
    <s v="Johane de Fila Trama"/>
    <m/>
    <m/>
    <m/>
    <m/>
  </r>
  <r>
    <n v="281"/>
    <m/>
    <s v="Fransons"/>
    <s v="De Chalmetis"/>
    <s v="Chalmetis"/>
    <m/>
    <m/>
    <m/>
    <s v="H"/>
    <n v="1343"/>
    <x v="0"/>
    <n v="2"/>
    <s v="Renaud de Fay"/>
    <s v="Homo-licgius, justitabilis et expletabilis"/>
    <s v="Talhabilis ad omnimodas voluntatis"/>
    <s v="Non"/>
    <s v="Oui"/>
    <s v="Oui"/>
    <s v="Oui"/>
    <s v="Non"/>
    <m/>
    <s v="Contractus emphiteotitarii"/>
    <s v="Oui"/>
    <s v="Oui"/>
    <s v="Oui"/>
    <s v="Oui"/>
    <s v="Oui"/>
    <s v="Oui"/>
    <s v="Oui"/>
    <s v="Non"/>
    <s v="Oui"/>
    <s v="Oui"/>
    <n v="1"/>
    <s v="Non"/>
    <s v="Non"/>
    <s v="Non"/>
    <s v="Non"/>
    <s v="Non"/>
    <s v="Non"/>
    <s v="Non"/>
    <s v="Non"/>
    <s v="Oui"/>
    <s v="Non"/>
    <s v="Non"/>
    <s v="Non"/>
    <s v="Non"/>
    <s v="Non"/>
    <s v="Non"/>
    <s v="Non"/>
    <s v="Non"/>
    <s v="Non"/>
    <s v="Non"/>
    <s v="Non"/>
    <s v="Non"/>
    <s v="Non"/>
    <s v="Non"/>
    <s v="Non"/>
    <s v="Non"/>
    <s v="Non"/>
    <s v="Non"/>
    <s v="Non"/>
    <s v="Non"/>
    <s v="Non"/>
    <s v="Oui"/>
    <m/>
    <s v="Nemoris"/>
    <s v="Chalmetis et Chalmariais"/>
    <m/>
    <s v="Tence"/>
    <n v="1.25"/>
    <n v="0"/>
    <n v="0"/>
    <n v="0"/>
    <n v="4"/>
    <n v="0"/>
    <n v="5.5"/>
    <n v="0"/>
    <n v="0"/>
    <n v="0"/>
    <n v="0"/>
    <n v="182.8125"/>
    <n v="0"/>
    <n v="0"/>
    <n v="17"/>
    <n v="3"/>
    <n v="0"/>
    <n v="0"/>
    <n v="0"/>
    <n v="0"/>
    <n v="90.1875"/>
    <n v="0"/>
    <n v="0"/>
    <n v="0"/>
    <n v="0"/>
    <n v="0"/>
    <s v="Petia situé à Chalmariais"/>
    <n v="24.666666666666668"/>
    <n v="0"/>
    <n v="0"/>
    <n v="0"/>
    <n v="24.666666666666668"/>
    <n v="0"/>
    <s v="Censu et talha"/>
    <s v="Toussaint"/>
    <m/>
    <s v="Mandamentum et juridictione castri seu loci de Chalmariais"/>
    <s v="Devesset, in turre supra portam"/>
    <s v="Girandus Girandi de Pulinaco"/>
    <s v="Jacobo Solerii de Chambone"/>
    <s v="Petrus Guilloti de Chalmariais"/>
    <s v="Johane de Chalmetas"/>
    <m/>
    <m/>
    <m/>
  </r>
  <r>
    <n v="291"/>
    <m/>
    <s v="Peyros"/>
    <s v="De Chalmetis"/>
    <s v="Chalmetis"/>
    <s v="Prope Chalmariais"/>
    <m/>
    <m/>
    <s v="H"/>
    <n v="1343"/>
    <x v="0"/>
    <n v="2"/>
    <s v="Renaud de Fay"/>
    <s v="Homo-licgius, justitabilis et expletabilis"/>
    <s v="Talhabilis et expletabilis ad omnimodas voluntatis"/>
    <s v="Non"/>
    <s v="Oui"/>
    <s v="Oui"/>
    <s v="Oui"/>
    <s v="Non"/>
    <m/>
    <s v="Contractus emphiteotitarii"/>
    <s v="Oui"/>
    <s v="Oui"/>
    <s v="Oui"/>
    <s v="Oui"/>
    <s v="Oui"/>
    <s v="Oui"/>
    <s v="Oui"/>
    <s v="Non"/>
    <s v="Oui"/>
    <s v="Non"/>
    <s v="Non"/>
    <s v="Oui"/>
    <s v="Non"/>
    <s v="Non"/>
    <s v="Non"/>
    <s v="Non"/>
    <s v="Non"/>
    <s v="Non"/>
    <s v="Non"/>
    <s v="Non"/>
    <s v="Non"/>
    <s v="Non"/>
    <s v="Non"/>
    <s v="Non"/>
    <s v="Non"/>
    <s v="Non"/>
    <s v="Non"/>
    <s v="Non"/>
    <s v="Non"/>
    <s v="Non"/>
    <s v="Non"/>
    <s v="Non"/>
    <s v="Non"/>
    <s v="Non"/>
    <s v="Non"/>
    <s v="Non"/>
    <s v="Non"/>
    <s v="Non"/>
    <s v="Non"/>
    <s v="Non"/>
    <s v="Non"/>
    <s v="Oui"/>
    <m/>
    <s v="prato"/>
    <s v="Chalmetis et Chalmariais"/>
    <m/>
    <s v="Tence"/>
    <n v="1.5"/>
    <n v="0"/>
    <n v="0"/>
    <n v="0"/>
    <n v="8"/>
    <n v="1"/>
    <n v="1"/>
    <n v="0"/>
    <n v="0"/>
    <n v="0"/>
    <n v="0"/>
    <n v="336.375"/>
    <n v="4"/>
    <n v="0"/>
    <n v="3"/>
    <n v="0"/>
    <n v="0"/>
    <n v="0"/>
    <n v="0"/>
    <n v="1"/>
    <n v="173.0625"/>
    <n v="0"/>
    <n v="0"/>
    <n v="0"/>
    <n v="0"/>
    <n v="0"/>
    <m/>
    <n v="46.333333333333336"/>
    <n v="0"/>
    <n v="0"/>
    <n v="0"/>
    <n v="46.333333333333336"/>
    <n v="0"/>
    <s v="Censu et talha"/>
    <s v="Toussaint"/>
    <s v="Merum et mixtum imperium "/>
    <s v="Castri de Chalmariais"/>
    <s v="Devesset, in turre supra portam"/>
    <s v="Girandus Girandi de Pulinaco"/>
    <s v="Jacobo Solerii de Chambone"/>
    <s v="Petrus Guilloti de Chalmariais"/>
    <s v="Johane de Chalmetas"/>
    <m/>
    <m/>
    <m/>
  </r>
  <r>
    <n v="1701"/>
    <m/>
    <s v="Poncius"/>
    <s v="De Chanils"/>
    <s v="Chanils"/>
    <m/>
    <m/>
    <m/>
    <s v="H"/>
    <n v="1343"/>
    <x v="0"/>
    <n v="16"/>
    <s v="Raynaud de Fay"/>
    <s v="Homo-licgius, justitabilis, talhabilis et expletabilis"/>
    <s v="Talhabiles"/>
    <s v="Non"/>
    <s v="Oui"/>
    <s v="Oui"/>
    <s v="Oui"/>
    <s v="Non"/>
    <m/>
    <s v="Constractus emphiteotarii"/>
    <s v="Oui"/>
    <n v="1"/>
    <n v="6"/>
    <s v="Non"/>
    <n v="2"/>
    <s v="Non"/>
    <s v="Non"/>
    <s v="Non"/>
    <s v="Non"/>
    <s v="Non"/>
    <s v="Non"/>
    <s v="Non"/>
    <s v="Non"/>
    <s v="Non"/>
    <s v="Non"/>
    <s v="Non"/>
    <n v="1"/>
    <s v="Non"/>
    <s v="Non"/>
    <n v="15"/>
    <s v="Non"/>
    <s v="Non"/>
    <s v="Non"/>
    <s v="Non"/>
    <s v="Non"/>
    <n v="3"/>
    <s v="Non"/>
    <s v="Non"/>
    <s v="Non"/>
    <s v="Non"/>
    <s v="Non"/>
    <s v="Non"/>
    <s v="Non"/>
    <s v="Non"/>
    <s v="Non"/>
    <s v="Non"/>
    <s v="Non"/>
    <n v="1"/>
    <s v="Non"/>
    <s v="Non"/>
    <s v="Non"/>
    <s v="Non"/>
    <m/>
    <s v="Domos + ortum + 15 petiam + garaytum + 3 versanam + 2 nemus + lameytenchada + 6 pratum"/>
    <m/>
    <m/>
    <s v="Fay"/>
    <n v="0"/>
    <n v="0"/>
    <n v="0"/>
    <n v="0"/>
    <n v="0"/>
    <n v="0"/>
    <n v="1.5"/>
    <n v="0"/>
    <n v="0"/>
    <n v="0"/>
    <n v="0"/>
    <n v="7.3125"/>
    <n v="0"/>
    <n v="1"/>
    <n v="0.5"/>
    <n v="0"/>
    <n v="0"/>
    <n v="0"/>
    <n v="0"/>
    <n v="0"/>
    <n v="21.9375"/>
    <n v="0"/>
    <n v="0"/>
    <n v="0"/>
    <n v="0"/>
    <n v="0"/>
    <m/>
    <n v="13.833333333333334"/>
    <n v="0"/>
    <n v="0"/>
    <n v="0"/>
    <n v="13.833333333333334"/>
    <n v="0"/>
    <s v="Censu et talha + 6 pratum + petiam"/>
    <s v="Toussaint"/>
    <m/>
    <m/>
    <s v="Devesset, sub estram"/>
    <s v="Girandus Girandi de Pulinaco"/>
    <s v="Fratre Petro de Casalibus"/>
    <s v="Nicholao Turri de Firnis"/>
    <s v="Johanne Turini"/>
    <m/>
    <m/>
    <m/>
  </r>
  <r>
    <n v="1151"/>
    <m/>
    <s v="Johannes"/>
    <s v="De Chanils"/>
    <s v="Chanils"/>
    <m/>
    <s v="Filius Petri de Chanils"/>
    <m/>
    <s v="H"/>
    <n v="1343"/>
    <x v="2"/>
    <n v="5"/>
    <s v="Raynaud de Fay"/>
    <s v="Homo-licgius justitiabilis et expletabilis ad omnimodas voluntates"/>
    <s v="Talhabiles"/>
    <s v="Non"/>
    <s v="Oui"/>
    <s v="Oui"/>
    <s v="Oui"/>
    <s v="Non"/>
    <m/>
    <s v="Constractus emphiteotarii"/>
    <n v="1"/>
    <n v="1"/>
    <n v="5"/>
    <s v="Non"/>
    <s v="Non"/>
    <s v="Non"/>
    <n v="1"/>
    <s v="Non"/>
    <s v="Non"/>
    <s v="Non"/>
    <s v="Non"/>
    <s v="Non"/>
    <s v="Non"/>
    <s v="Non"/>
    <s v="Non"/>
    <s v="Non"/>
    <s v="Non"/>
    <s v="Non"/>
    <s v="Non"/>
    <n v="9"/>
    <s v="Non"/>
    <s v="Non"/>
    <s v="Non"/>
    <s v="Non"/>
    <s v="Non"/>
    <s v="Oui"/>
    <s v="Non"/>
    <s v="Non"/>
    <s v="Non"/>
    <s v="Non"/>
    <s v="Non"/>
    <s v="Non"/>
    <s v="Non"/>
    <s v="Non"/>
    <s v="Non"/>
    <s v="Non"/>
    <s v="Non"/>
    <s v="Non"/>
    <s v="Non"/>
    <s v="Non"/>
    <s v="Non"/>
    <s v="Oui"/>
    <m/>
    <s v="Domum + ortum + 9 petiae + 1 pasturale + 5 prati + versana"/>
    <s v="Loco et territorio de Chanils"/>
    <m/>
    <s v="Fay"/>
    <n v="0"/>
    <n v="0"/>
    <n v="0"/>
    <n v="0"/>
    <n v="0"/>
    <n v="0"/>
    <n v="3.5"/>
    <n v="0"/>
    <n v="0"/>
    <n v="0"/>
    <n v="0"/>
    <n v="17.0625"/>
    <n v="0"/>
    <n v="0"/>
    <n v="1.5"/>
    <n v="0.5"/>
    <n v="0"/>
    <n v="0"/>
    <n v="0"/>
    <n v="0"/>
    <n v="8.53125"/>
    <n v="0"/>
    <n v="0"/>
    <n v="0"/>
    <n v="0"/>
    <n v="0"/>
    <m/>
    <n v="3.9166666666666665"/>
    <n v="1"/>
    <n v="0"/>
    <n v="0"/>
    <n v="3.958333333333333"/>
    <n v="0"/>
    <s v="Pasturale + 5 prati"/>
    <s v="Toussaint"/>
    <s v="De juridictione et senhoria"/>
    <s v="Castri Devesseti"/>
    <s v="Devesset, in turre supra portam"/>
    <s v="Girandus Girandi de Pulinaco"/>
    <s v="Fratre Petro de Casalibus"/>
    <s v="Johanne Barerii Dens Chozaleiz"/>
    <m/>
    <m/>
    <m/>
    <s v="in compositione olim facta inter domum Devesseti et domini catri Fayni condam"/>
  </r>
  <r>
    <n v="1161"/>
    <m/>
    <s v="Peyronus et Jacmeta"/>
    <s v="De Chanils"/>
    <s v="Chanils"/>
    <m/>
    <s v="Peyronus filius Guillermi de Chanils condam + Jacmeta relicta Jacobi de Chanils condam"/>
    <s v="Jacmeta nomine liberorum suorum"/>
    <s v="G"/>
    <n v="1343"/>
    <x v="2"/>
    <n v="5"/>
    <s v="Raynaud de Fay"/>
    <s v="Homo-licgius justitiabilis et talhabilies ad omnimodas voluntates"/>
    <s v="Talhabiles ad omnimodas voluntates"/>
    <s v="Non"/>
    <s v="Oui"/>
    <s v="Oui"/>
    <s v="Oui"/>
    <s v="Non"/>
    <m/>
    <s v="Constractus emphiteotarii"/>
    <n v="1"/>
    <n v="1"/>
    <n v="3"/>
    <s v="Non"/>
    <n v="1"/>
    <s v="Non"/>
    <n v="2"/>
    <s v="Non"/>
    <s v="Non"/>
    <s v="Non"/>
    <s v="Non"/>
    <s v="Non"/>
    <s v="Non"/>
    <s v="Non"/>
    <s v="Non"/>
    <s v="Non"/>
    <s v="Non"/>
    <s v="Non"/>
    <s v="Non"/>
    <n v="9"/>
    <s v="Non"/>
    <s v="Non"/>
    <s v="Non"/>
    <s v="Non"/>
    <s v="Non"/>
    <s v="Non"/>
    <s v="Non"/>
    <s v="Non"/>
    <s v="Non"/>
    <s v="Non"/>
    <s v="Non"/>
    <s v="Non"/>
    <s v="Non"/>
    <s v="Non"/>
    <s v="Non"/>
    <s v="Non"/>
    <s v="Non"/>
    <s v="Non"/>
    <s v="Non"/>
    <s v="Non"/>
    <s v="Non"/>
    <s v="Oui"/>
    <m/>
    <s v="Domum + ortum + 9 petiae + terrae + 3 Prati + 2 pasturale + 1 nemus"/>
    <m/>
    <m/>
    <s v="Fay"/>
    <n v="0"/>
    <n v="0"/>
    <n v="0"/>
    <n v="0"/>
    <n v="0"/>
    <n v="0"/>
    <n v="0.5"/>
    <n v="0"/>
    <n v="1"/>
    <n v="0"/>
    <n v="0"/>
    <n v="12.1875"/>
    <n v="0"/>
    <n v="0"/>
    <n v="1"/>
    <n v="0"/>
    <n v="0"/>
    <n v="0"/>
    <n v="0"/>
    <n v="0"/>
    <n v="4.875"/>
    <n v="0"/>
    <n v="0"/>
    <n v="0"/>
    <n v="0"/>
    <n v="0"/>
    <m/>
    <n v="3.0833333333333335"/>
    <n v="0"/>
    <n v="0"/>
    <n v="0"/>
    <n v="3.0833333333333335"/>
    <n v="0"/>
    <s v="3 Prati + 2 pasturale + 1 nemus"/>
    <s v="Toussaint"/>
    <m/>
    <m/>
    <s v="Devesset, in turre supra portam"/>
    <s v="Girandus Girandi de Pulinaco"/>
    <s v="Fratre Johanne Meruli"/>
    <s v="Nicolao de Furnis"/>
    <s v="Johanne Dens Chazaetz"/>
    <m/>
    <m/>
    <m/>
  </r>
  <r>
    <n v="1443"/>
    <m/>
    <s v="Beatrix et Marieta"/>
    <s v="De Comba Sancta Gitatis"/>
    <s v="Comba Sancta Gitatis"/>
    <m/>
    <s v="Sororis"/>
    <m/>
    <s v="GF"/>
    <n v="1345"/>
    <x v="1"/>
    <n v="23"/>
    <s v="Raynaud de Fay"/>
    <m/>
    <m/>
    <m/>
    <m/>
    <m/>
    <m/>
    <m/>
    <m/>
    <m/>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m/>
    <m/>
    <m/>
    <n v="0"/>
    <n v="0"/>
    <n v="0"/>
    <n v="0"/>
    <n v="0"/>
    <n v="0"/>
    <n v="0"/>
    <n v="0"/>
    <n v="0"/>
    <n v="0"/>
    <n v="0"/>
    <n v="0"/>
    <n v="0"/>
    <n v="0"/>
    <n v="0"/>
    <n v="0"/>
    <n v="0"/>
    <n v="0"/>
    <n v="0"/>
    <n v="0"/>
    <n v="0"/>
    <n v="0"/>
    <n v="0"/>
    <n v="0"/>
    <n v="0"/>
    <n v="0"/>
    <s v="Tenementum"/>
    <n v="1.0833333333333333"/>
    <n v="0"/>
    <n v="0"/>
    <n v="0"/>
    <n v="1.0833333333333333"/>
    <n v="0"/>
    <m/>
    <s v="Toussaint"/>
    <m/>
    <m/>
    <s v="Devesset, ante portam castri"/>
    <s v="Jacobus Boscheti"/>
    <s v="Jacobo Fayni de Sabinariais"/>
    <s v="Bernardo de Sanna"/>
    <s v="Monidie de Flossac"/>
    <m/>
    <m/>
    <m/>
  </r>
  <r>
    <n v="1421"/>
    <m/>
    <s v="Durandus"/>
    <s v="De Croseto"/>
    <s v="Ruela"/>
    <m/>
    <m/>
    <m/>
    <s v="H"/>
    <n v="1343"/>
    <x v="3"/>
    <n v="12"/>
    <s v="Raynaud de Fay"/>
    <s v="Homo-licgius, justitabilis et expletabilis"/>
    <m/>
    <s v="Non"/>
    <s v="Oui"/>
    <s v="Oui"/>
    <s v="Oui"/>
    <s v="Non"/>
    <s v="Avec bœufs et animaux"/>
    <s v="Constractus emphiteotarii"/>
    <n v="1"/>
    <n v="1"/>
    <s v="Oui"/>
    <s v="Non"/>
    <s v="Non"/>
    <s v="Non"/>
    <s v="Oui"/>
    <s v="Non"/>
    <s v="Non"/>
    <s v="Non"/>
    <s v="Non"/>
    <s v="Non"/>
    <s v="Non"/>
    <s v="Non"/>
    <s v="Non"/>
    <n v="1"/>
    <s v="Non"/>
    <s v="Non"/>
    <s v="Non"/>
    <s v="Non"/>
    <s v="Non"/>
    <s v="Non"/>
    <s v="Non"/>
    <s v="Non"/>
    <s v="Non"/>
    <s v="Non"/>
    <s v="Non"/>
    <s v="Non"/>
    <s v="Non"/>
    <s v="Non"/>
    <s v="Non"/>
    <s v="Non"/>
    <s v="Non"/>
    <s v="Non"/>
    <s v="Non"/>
    <s v="Non"/>
    <s v="Non"/>
    <s v="Non"/>
    <s v="Non"/>
    <s v="Non"/>
    <s v="Non"/>
    <s v="Non"/>
    <m/>
    <s v="Domum + ortum + ouchiam + 2 prati + 2 partem pasturale + 1 partem prati + 1 patem pasturalium communum + pasturalibus"/>
    <m/>
    <m/>
    <s v="Devesset"/>
    <n v="1"/>
    <n v="0"/>
    <n v="0"/>
    <n v="0"/>
    <n v="0"/>
    <n v="0"/>
    <n v="0"/>
    <n v="0"/>
    <n v="0"/>
    <n v="0"/>
    <n v="0"/>
    <n v="0"/>
    <n v="0"/>
    <n v="0"/>
    <n v="1"/>
    <n v="2.5333333333333332"/>
    <n v="0"/>
    <n v="0"/>
    <n v="0"/>
    <n v="0"/>
    <n v="11.049999999999999"/>
    <n v="0"/>
    <n v="0"/>
    <n v="0"/>
    <n v="0"/>
    <n v="0"/>
    <s v="Domum + partem pasturale + partem pasturale et pratorum + duorum prati + pasturalibus + partem pasturalium communum"/>
    <n v="5.333333333333333"/>
    <n v="0"/>
    <n v="0"/>
    <n v="0"/>
    <n v="5.333333333333333"/>
    <n v="0.33333333333333331"/>
    <m/>
    <s v="Toussaint"/>
    <s v="Mero et mixto imperio"/>
    <s v="In mandamentum et de mandamento castri Devesseti"/>
    <s v="Devesset, in turre supra portam"/>
    <s v="Girandus Girandi de Pulinaco"/>
    <s v="Poncio Raynaudi de Ruppe Paula"/>
    <s v="Guillermo Badelhi"/>
    <m/>
    <m/>
    <m/>
    <m/>
  </r>
  <r>
    <n v="1341"/>
    <m/>
    <s v="Guillermus"/>
    <s v="De Crozo"/>
    <s v="Ruppe"/>
    <m/>
    <m/>
    <m/>
    <s v="H"/>
    <n v="1343"/>
    <x v="2"/>
    <n v="12"/>
    <s v="Raynaud de Fay"/>
    <s v="Homo-licgius, justitabilis et expletabilis"/>
    <m/>
    <s v="Non"/>
    <s v="Oui"/>
    <s v="Oui"/>
    <s v="Oui"/>
    <s v="Non"/>
    <m/>
    <m/>
    <n v="1"/>
    <s v="Non"/>
    <s v="Non"/>
    <s v="Non"/>
    <n v="1"/>
    <s v="Non"/>
    <s v="Non"/>
    <s v="Non"/>
    <s v="Non"/>
    <s v="Non"/>
    <s v="Non"/>
    <s v="Non"/>
    <s v="Non"/>
    <s v="Non"/>
    <s v="Non"/>
    <s v="Non"/>
    <s v="Non"/>
    <s v="Oui"/>
    <s v="Non"/>
    <n v="6"/>
    <s v="Non"/>
    <s v="Non"/>
    <s v="Non"/>
    <s v="Non"/>
    <s v="Non"/>
    <s v="Non"/>
    <s v="Non"/>
    <s v="Non"/>
    <s v="Non"/>
    <s v="Non"/>
    <s v="Non"/>
    <s v="Non"/>
    <s v="Non"/>
    <s v="Non"/>
    <s v="Non"/>
    <s v="Non"/>
    <s v="Non"/>
    <s v="Non"/>
    <s v="Non"/>
    <s v="Non"/>
    <s v="Non"/>
    <s v="Non"/>
    <m/>
    <s v="6 petiam + 1 nemus + 1 domum + 1 partem patile commune"/>
    <s v="Apud la Rocha et in eius territorio"/>
    <m/>
    <s v="Mesure non précisée"/>
    <n v="1"/>
    <n v="0"/>
    <n v="0"/>
    <n v="0"/>
    <n v="0"/>
    <n v="0"/>
    <n v="0"/>
    <n v="1.3333333333333333"/>
    <n v="0"/>
    <n v="0"/>
    <n v="0"/>
    <n v="3.25"/>
    <n v="0"/>
    <n v="0"/>
    <n v="1"/>
    <n v="0"/>
    <n v="0"/>
    <n v="0"/>
    <n v="0"/>
    <n v="0"/>
    <n v="4.875"/>
    <n v="0"/>
    <n v="0"/>
    <n v="0"/>
    <n v="0"/>
    <n v="0"/>
    <s v="Pupardo"/>
    <n v="3.6666666666666665"/>
    <n v="0"/>
    <n v="0"/>
    <n v="0"/>
    <n v="3.6666666666666665"/>
    <n v="0"/>
    <s v="Censu et talha"/>
    <m/>
    <s v="Mero et mixto imperio"/>
    <s v="De mandamentum et infra mandamentum et de juridictione domus Devesseti"/>
    <s v="Devesset, in turre supra portam"/>
    <s v="Girandus Girandi de Pulinaco"/>
    <m/>
    <m/>
    <m/>
    <m/>
    <m/>
    <m/>
  </r>
  <r>
    <n v="1172"/>
    <m/>
    <s v="Johannis"/>
    <s v="De Curtibus"/>
    <s v="Montilio"/>
    <s v="Parochie de Lanastres"/>
    <m/>
    <m/>
    <s v="H"/>
    <n v="1344"/>
    <x v="4"/>
    <n v="26"/>
    <s v="Raynaud de Fay"/>
    <m/>
    <m/>
    <m/>
    <m/>
    <m/>
    <m/>
    <m/>
    <m/>
    <s v="Constractus emphiteotarii"/>
    <s v="Non"/>
    <s v="Non"/>
    <s v="1 Seytorata prati"/>
    <s v="Non"/>
    <s v="Non"/>
    <s v="Non"/>
    <s v="Non"/>
    <s v="Non"/>
    <s v="Non"/>
    <s v="Non"/>
    <s v="Non"/>
    <s v="Non"/>
    <s v="Non"/>
    <s v="Non"/>
    <s v="Non"/>
    <s v="Non"/>
    <s v="Non"/>
    <s v="Non"/>
    <s v="Non"/>
    <s v="Non"/>
    <s v="Non"/>
    <s v="Non"/>
    <s v="Non"/>
    <s v="Non"/>
    <s v="Non"/>
    <s v="Non"/>
    <s v="Non"/>
    <s v="Non"/>
    <s v="Non"/>
    <s v="Non"/>
    <s v="Non"/>
    <s v="Non"/>
    <s v="Non"/>
    <s v="Non"/>
    <s v="Non"/>
    <s v="Non"/>
    <s v="Non"/>
    <s v="Non"/>
    <s v="Non"/>
    <s v="Non"/>
    <s v="Non"/>
    <s v="Non"/>
    <m/>
    <s v="Unius dimidiam Seytoratam Prati"/>
    <m/>
    <m/>
    <m/>
    <n v="0"/>
    <n v="0"/>
    <n v="0"/>
    <n v="0"/>
    <n v="0"/>
    <n v="0"/>
    <n v="0"/>
    <n v="0"/>
    <n v="0"/>
    <n v="0"/>
    <n v="0"/>
    <n v="0"/>
    <n v="0"/>
    <n v="0"/>
    <n v="0"/>
    <n v="0"/>
    <n v="0"/>
    <n v="0"/>
    <n v="0"/>
    <n v="0"/>
    <n v="0"/>
    <n v="0"/>
    <n v="0"/>
    <n v="0"/>
    <n v="0"/>
    <n v="0"/>
    <s v="Unius dimidiam Seytoratam Prati"/>
    <n v="1"/>
    <n v="0"/>
    <n v="0"/>
    <n v="0"/>
    <n v="1"/>
    <n v="0"/>
    <m/>
    <s v="Toussaint"/>
    <m/>
    <m/>
    <s v="Saint-Agrève, in gramero Devesseti"/>
    <s v="Girandus Girandi de Pulinaco"/>
    <s v="Guillermo de Curtibus"/>
    <s v="Petro Valeta de Montilio"/>
    <m/>
    <m/>
    <m/>
    <m/>
  </r>
  <r>
    <n v="1521"/>
    <m/>
    <s v="Johannes"/>
    <s v="De Feudo"/>
    <s v="Feudo"/>
    <m/>
    <m/>
    <m/>
    <s v="H"/>
    <n v="1342"/>
    <x v="3"/>
    <s v="?"/>
    <s v="Raynaud de Fay"/>
    <s v="Homo-licgius justitiabilis et talhabilis ad omnimodas voluntates"/>
    <s v="Talhabiles ad omnimodas voluntates"/>
    <s v="Non"/>
    <s v="Oui"/>
    <s v="Oui"/>
    <s v="Oui"/>
    <s v="Non"/>
    <s v="Avec bœufs et animaux"/>
    <s v="Constractus emphiteotarii"/>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m/>
    <m/>
    <s v="Fay"/>
    <n v="1"/>
    <n v="0"/>
    <n v="0"/>
    <n v="0"/>
    <n v="2"/>
    <n v="0"/>
    <n v="0"/>
    <n v="0"/>
    <n v="0"/>
    <n v="0"/>
    <n v="0"/>
    <n v="78"/>
    <n v="2"/>
    <n v="0"/>
    <n v="0"/>
    <n v="0"/>
    <n v="0"/>
    <n v="0"/>
    <n v="0"/>
    <n v="0"/>
    <n v="78"/>
    <n v="0"/>
    <n v="0"/>
    <n v="0"/>
    <n v="0"/>
    <n v="0"/>
    <s v="Tenementum"/>
    <n v="25"/>
    <n v="0"/>
    <n v="0"/>
    <n v="0"/>
    <n v="25"/>
    <n v="0"/>
    <m/>
    <m/>
    <m/>
    <m/>
    <s v="Devesset, in quoquina"/>
    <s v="Girandus Girandi de Pulinaco"/>
    <s v="Petro de Ruppe"/>
    <s v="Al Malimiho"/>
    <s v="Johanne Sabatii"/>
    <s v="Domino Vitale de Clauselis"/>
    <m/>
    <m/>
  </r>
  <r>
    <n v="441"/>
    <m/>
    <s v="Johannes"/>
    <s v="De Filatrama"/>
    <s v="Filatrama"/>
    <m/>
    <s v="Filius Jacobi"/>
    <s v="Pro Petri eius fratris"/>
    <s v="H"/>
    <n v="1343"/>
    <x v="0"/>
    <n v="2"/>
    <s v="Raynaud de Fay"/>
    <s v="Homo-licgius, justitabilis et expletabilis"/>
    <s v="Talhabilis ad omnimodas voluntatis"/>
    <s v="Non"/>
    <s v="Oui"/>
    <s v="Oui"/>
    <s v="Oui"/>
    <s v="Non"/>
    <m/>
    <s v="Contractus emphiteotitarii"/>
    <s v="Oui"/>
    <s v="Oui"/>
    <s v="Oui"/>
    <s v="Non"/>
    <s v="Non"/>
    <s v="Non"/>
    <s v="Non"/>
    <s v="Oui"/>
    <s v="Non"/>
    <s v="Non"/>
    <n v="1"/>
    <s v="Non"/>
    <s v="Non"/>
    <s v="Non"/>
    <s v="Non"/>
    <s v="Non"/>
    <n v="1"/>
    <s v="Non"/>
    <s v="Non"/>
    <s v="Non"/>
    <s v="Non"/>
    <s v="Non"/>
    <s v="Non"/>
    <s v="Non"/>
    <s v="Non"/>
    <s v="Non"/>
    <s v="Non"/>
    <s v="Non"/>
    <s v="Non"/>
    <s v="Non"/>
    <s v="Non"/>
    <s v="Non"/>
    <s v="Non"/>
    <s v="Non"/>
    <s v="Non"/>
    <s v="Non"/>
    <s v="Non"/>
    <s v="Non"/>
    <s v="Non"/>
    <s v="Non"/>
    <s v="Non"/>
    <s v="Non"/>
    <m/>
    <s v="Gragia + terra + garaita + prata + terra in villanagium"/>
    <m/>
    <s v="Frère"/>
    <s v="Devesset"/>
    <n v="3"/>
    <n v="0"/>
    <n v="0"/>
    <n v="0"/>
    <n v="0"/>
    <n v="0"/>
    <n v="7"/>
    <n v="0"/>
    <n v="0"/>
    <n v="0"/>
    <n v="0"/>
    <n v="34.125"/>
    <n v="0"/>
    <n v="0"/>
    <n v="6"/>
    <n v="0"/>
    <n v="0"/>
    <n v="0"/>
    <n v="0"/>
    <n v="0"/>
    <n v="29.25"/>
    <n v="0"/>
    <n v="0"/>
    <n v="0"/>
    <n v="0"/>
    <n v="0"/>
    <s v="Levata + terra"/>
    <n v="22"/>
    <n v="0"/>
    <n v="0"/>
    <n v="0"/>
    <n v="22"/>
    <n v="0"/>
    <s v="Censu et talha"/>
    <s v="Toussaint"/>
    <s v="De juridictione omnimoda et merum et mistum imperium"/>
    <s v="Castri Devesseti"/>
    <s v="Devesset, in turre supra portam"/>
    <s v="Girandus Girandi de Pulinaco"/>
    <s v="Guillermo Anianis de Sancto Agrippavo clerico notarii"/>
    <s v="Johanne de Chalmetis prope Chalmariais"/>
    <s v="Petro de Chalmetis prope Chalmeriais"/>
    <m/>
    <m/>
    <s v="In quadam compositione olim facta inter dominum aniciensis episcopum et domum Devesseti"/>
  </r>
  <r>
    <n v="351"/>
    <m/>
    <s v="Matheus"/>
    <s v="De Flachoco"/>
    <s v="La Brueyra"/>
    <m/>
    <m/>
    <s v="Pro Guigone eius uxoris"/>
    <s v="H"/>
    <n v="1343"/>
    <x v="0"/>
    <n v="8"/>
    <s v="Raynaud de Fay"/>
    <m/>
    <m/>
    <s v="Non"/>
    <s v="Non"/>
    <s v="Non"/>
    <s v="Non"/>
    <s v="Non"/>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m/>
    <n v="1.5"/>
    <n v="0"/>
    <n v="0"/>
    <n v="0"/>
    <n v="1.5"/>
    <n v="0"/>
    <m/>
    <s v="Toussaint"/>
    <s v="De juridictione omnimoda"/>
    <s v="Castri Devesseti"/>
    <s v="Devesset, in turre supra portam fortalicii"/>
    <s v="Girandus Girandi de Pulinaco"/>
    <s v="Johane Blaoner"/>
    <s v="Martina Maria"/>
    <m/>
    <m/>
    <m/>
    <m/>
  </r>
  <r>
    <n v="1402"/>
    <m/>
    <s v="Mondonus"/>
    <s v="De Flossac"/>
    <s v="Flossac"/>
    <m/>
    <s v="Domicellis"/>
    <m/>
    <s v="H"/>
    <n v="1342"/>
    <x v="6"/>
    <n v="23"/>
    <s v="Raynaud de Fay"/>
    <s v="Promisit esse bonus et fidelis castri Devesseti"/>
    <m/>
    <m/>
    <m/>
    <m/>
    <m/>
    <m/>
    <m/>
    <m/>
    <s v="Non"/>
    <s v="Non"/>
    <n v="2"/>
    <s v="Non"/>
    <s v="Non"/>
    <s v="Non"/>
    <n v="1"/>
    <s v="Oui"/>
    <s v="Non"/>
    <s v="Non"/>
    <s v="Non"/>
    <s v="Non"/>
    <s v="Non"/>
    <s v="Non"/>
    <s v="Non"/>
    <s v="Non"/>
    <s v="Non"/>
    <s v="Non"/>
    <s v="Non"/>
    <s v="Non"/>
    <s v="Non"/>
    <s v="Non"/>
    <s v="Non"/>
    <s v="Non"/>
    <s v="Non"/>
    <s v="Non"/>
    <s v="Non"/>
    <s v="Non"/>
    <s v="Non"/>
    <s v="Non"/>
    <s v="Non"/>
    <s v="Non"/>
    <s v="Non"/>
    <s v="Non"/>
    <s v="Non"/>
    <s v="Non"/>
    <s v="Non"/>
    <s v="Non"/>
    <s v="Non"/>
    <s v="Non"/>
    <s v="Non"/>
    <s v="Non"/>
    <m/>
    <s v="2 pratum + pasturale + terre"/>
    <m/>
    <m/>
    <m/>
    <n v="0"/>
    <n v="0"/>
    <n v="0"/>
    <n v="0"/>
    <n v="0"/>
    <n v="0"/>
    <n v="0"/>
    <n v="0"/>
    <n v="0"/>
    <n v="0"/>
    <n v="0"/>
    <n v="0"/>
    <n v="0"/>
    <n v="0"/>
    <n v="0"/>
    <n v="0"/>
    <n v="0"/>
    <n v="0"/>
    <n v="0"/>
    <n v="0"/>
    <n v="0"/>
    <n v="0"/>
    <n v="0"/>
    <n v="0"/>
    <n v="0"/>
    <n v="0"/>
    <s v="Redevance à Devesset"/>
    <n v="6"/>
    <n v="0"/>
    <n v="0"/>
    <n v="0"/>
    <n v="6"/>
    <n v="0"/>
    <m/>
    <s v="Toussaint"/>
    <s v="Alta et bassa mero et mixto imperio"/>
    <s v="Castri Banno, excepto quod ad ispium pertin ere quod idem dominis preceptor non tradit ymo penitus ignorat"/>
    <s v="Devesset, sub estras"/>
    <s v="Girandus Girandi de Pulinaco"/>
    <s v="Fratre Johanne Meruli"/>
    <s v="Fratre Petro de Casalibus"/>
    <s v="Andree Garalis norarii regis"/>
    <s v="[…] de Chalmetis sive de Sanna"/>
    <m/>
    <m/>
  </r>
  <r>
    <n v="1351"/>
    <s v="Marge illisible"/>
    <s v="Johannes"/>
    <s v="De Fonte"/>
    <s v="Fonte"/>
    <m/>
    <m/>
    <m/>
    <s v="H"/>
    <n v="1343"/>
    <x v="6"/>
    <n v="22"/>
    <s v="Raynaud de Fay"/>
    <m/>
    <m/>
    <m/>
    <m/>
    <m/>
    <m/>
    <m/>
    <m/>
    <m/>
    <s v="Non"/>
    <s v="Non"/>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Tempore quo badam facere in eadem quod dominis preceptoris hec ibididem quartum bladorum ibidem ex cercensium prout in aliis terris cartinis mandamendti sui Devesseti percipere confuenit"/>
    <s v="Nemore"/>
    <m/>
    <m/>
    <m/>
    <n v="0"/>
    <n v="0"/>
    <n v="0"/>
    <n v="0"/>
    <n v="0"/>
    <n v="0"/>
    <n v="0"/>
    <n v="0"/>
    <n v="0"/>
    <n v="0"/>
    <n v="0"/>
    <n v="0"/>
    <n v="0"/>
    <n v="0"/>
    <n v="0"/>
    <n v="0"/>
    <n v="0"/>
    <n v="0"/>
    <n v="0"/>
    <n v="0"/>
    <n v="0"/>
    <n v="0"/>
    <n v="0"/>
    <n v="0"/>
    <n v="0"/>
    <n v="0"/>
    <m/>
    <n v="0"/>
    <n v="0"/>
    <n v="0"/>
    <n v="0"/>
    <n v="0"/>
    <n v="0"/>
    <m/>
    <m/>
    <m/>
    <m/>
    <s v="Devesset, in estis ante cameram domini preceptoris"/>
    <s v="Girandus Girandi de Pulinaco"/>
    <s v="Matheo Maifreschis"/>
    <s v="Michaele Maifreschis"/>
    <m/>
    <m/>
    <m/>
    <m/>
  </r>
  <r>
    <n v="1871"/>
    <m/>
    <s v="Johanneta"/>
    <s v="De Frigidis Perietibus"/>
    <s v="Frigidis Perietibus"/>
    <s v="Habitator de Croseto"/>
    <m/>
    <m/>
    <s v="F"/>
    <n v="1345"/>
    <x v="0"/>
    <n v="7"/>
    <s v="Raynaud de Fay"/>
    <s v="Mulier-licgia, justitabilis et expletabilis"/>
    <m/>
    <s v="Non"/>
    <s v="Oui"/>
    <s v="Oui"/>
    <s v="Oui"/>
    <s v="Non"/>
    <m/>
    <s v="Constractus emphiteotarii"/>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um"/>
    <s v="Loco et territorio de Frigidis Periet"/>
    <m/>
    <s v="Pas de mesure de céréale"/>
    <n v="0"/>
    <n v="0"/>
    <n v="0"/>
    <n v="0"/>
    <n v="0"/>
    <n v="0"/>
    <n v="1.5"/>
    <n v="0.5"/>
    <n v="0"/>
    <n v="0"/>
    <n v="0"/>
    <n v="8.53125"/>
    <n v="0"/>
    <n v="0"/>
    <n v="0"/>
    <n v="1"/>
    <n v="0"/>
    <n v="0"/>
    <n v="0"/>
    <n v="0"/>
    <n v="2.4375"/>
    <n v="0"/>
    <n v="0"/>
    <n v="0"/>
    <n v="0"/>
    <n v="0"/>
    <m/>
    <n v="3.5833333333333335"/>
    <n v="1"/>
    <n v="0"/>
    <n v="0"/>
    <n v="3.625"/>
    <n v="0"/>
    <s v="Censu et talha"/>
    <s v="Toussaint"/>
    <m/>
    <m/>
    <s v="Ville Neuve de Devesset, in hospicio Johannis Comptoris"/>
    <s v="Girandus Girandi de Pulinaco"/>
    <s v="Guillermo Badelli"/>
    <s v="Laurentio de Montabonello"/>
    <m/>
    <m/>
    <m/>
    <m/>
  </r>
  <r>
    <n v="1661"/>
    <m/>
    <s v="Columbeta"/>
    <s v="De Hereo"/>
    <s v="Lermet"/>
    <m/>
    <s v="Filia Guillermi de Hereo condam"/>
    <m/>
    <s v="F"/>
    <n v="1343"/>
    <x v="0"/>
    <n v="4"/>
    <s v="Raynaud de Fay"/>
    <s v="Promisit esse fidelis tenementarius domus Devesseti"/>
    <m/>
    <m/>
    <m/>
    <m/>
    <m/>
    <m/>
    <m/>
    <s v="Constractus emphiteotarii"/>
    <s v="Non"/>
    <s v="Non"/>
    <s v="Non"/>
    <s v="Non"/>
    <n v="1"/>
    <s v="Non"/>
    <n v="1"/>
    <s v="Oui"/>
    <s v="Non"/>
    <s v="Non"/>
    <s v="Non"/>
    <s v="Non"/>
    <s v="Non"/>
    <s v="Non"/>
    <s v="Non"/>
    <s v="Non"/>
    <s v="Non"/>
    <s v="Non"/>
    <s v="Non"/>
    <n v="1"/>
    <s v="Non"/>
    <s v="Non"/>
    <s v="Non"/>
    <s v="Non"/>
    <s v="Non"/>
    <s v="Non"/>
    <s v="Non"/>
    <s v="Non"/>
    <s v="Non"/>
    <s v="Non"/>
    <s v="Non"/>
    <s v="Non"/>
    <s v="Non"/>
    <s v="Non"/>
    <s v="Non"/>
    <s v="Non"/>
    <s v="Non"/>
    <s v="Non"/>
    <s v="Non"/>
    <s v="Non"/>
    <s v="Non"/>
    <s v="Non"/>
    <m/>
    <s v="3 petiam terre + petiam + nemus + pasturale"/>
    <m/>
    <m/>
    <s v="Devesset"/>
    <n v="0"/>
    <n v="0"/>
    <n v="0"/>
    <n v="0"/>
    <n v="0"/>
    <n v="1"/>
    <n v="0"/>
    <n v="0"/>
    <n v="0"/>
    <n v="0"/>
    <n v="0"/>
    <n v="19.5"/>
    <n v="0"/>
    <n v="0"/>
    <n v="0"/>
    <n v="1"/>
    <n v="0"/>
    <n v="0"/>
    <n v="1.2"/>
    <n v="0"/>
    <n v="3.9000000000000004"/>
    <n v="0"/>
    <n v="0"/>
    <n v="0"/>
    <n v="0"/>
    <n v="0"/>
    <m/>
    <n v="1.0833333333333333"/>
    <n v="1"/>
    <n v="0"/>
    <n v="0"/>
    <n v="1.125"/>
    <n v="0"/>
    <m/>
    <s v="Toussaint"/>
    <s v="Alta et bassa justicia"/>
    <s v="De omnimoda juridictione castri Devesseti et eius mandamentum"/>
    <s v="Devesset, in turre supra portam"/>
    <s v="Girandus Girandi de Pulinaco"/>
    <s v="Fratre Johanne Meruli"/>
    <s v="Matheo Morelli de Ruppe Paula"/>
    <m/>
    <m/>
    <m/>
    <m/>
  </r>
  <r>
    <n v="1671"/>
    <m/>
    <s v="Johanneta"/>
    <s v="De Hereo"/>
    <s v="Lermet"/>
    <m/>
    <s v="Filia Peyruchonis de Hereo"/>
    <m/>
    <s v="F"/>
    <n v="1343"/>
    <x v="0"/>
    <n v="4"/>
    <s v="Raynaud de Fay"/>
    <s v="Promisit esse fidelis tenementarius domus Devesseti"/>
    <m/>
    <m/>
    <m/>
    <m/>
    <m/>
    <m/>
    <m/>
    <s v="Constractus emphiteotarii"/>
    <s v="Non"/>
    <s v="Non"/>
    <s v="Oui"/>
    <s v="Non"/>
    <n v="2"/>
    <s v="Non"/>
    <n v="1"/>
    <s v="Oui"/>
    <s v="Non"/>
    <s v="Non"/>
    <s v="Non"/>
    <s v="Non"/>
    <s v="Non"/>
    <s v="Non"/>
    <s v="Non"/>
    <s v="Non"/>
    <s v="Non"/>
    <s v="Non"/>
    <s v="Non"/>
    <n v="1"/>
    <s v="Non"/>
    <s v="Non"/>
    <s v="Non"/>
    <s v="Non"/>
    <s v="Non"/>
    <s v="Non"/>
    <s v="Non"/>
    <s v="Non"/>
    <s v="Non"/>
    <s v="Non"/>
    <s v="Non"/>
    <s v="Non"/>
    <s v="Non"/>
    <s v="Non"/>
    <s v="Non"/>
    <s v="Non"/>
    <s v="Non"/>
    <s v="Non"/>
    <s v="Non"/>
    <s v="Non"/>
    <s v="Non"/>
    <s v="Non"/>
    <m/>
    <s v="3 petiam terre + 2 nemoris + pasturale + pratis + petia"/>
    <m/>
    <m/>
    <s v="Devesset"/>
    <n v="0"/>
    <n v="0"/>
    <n v="0"/>
    <n v="0"/>
    <n v="0"/>
    <n v="0"/>
    <n v="1"/>
    <n v="0"/>
    <n v="0"/>
    <n v="0"/>
    <n v="0"/>
    <n v="4.875"/>
    <n v="0"/>
    <n v="0"/>
    <n v="0"/>
    <n v="0"/>
    <n v="0"/>
    <n v="0"/>
    <n v="5.2"/>
    <n v="0"/>
    <n v="6.3375000000000004"/>
    <n v="0"/>
    <n v="0"/>
    <n v="0"/>
    <n v="0"/>
    <n v="0"/>
    <m/>
    <n v="1.0833333333333333"/>
    <n v="1"/>
    <n v="0"/>
    <n v="0"/>
    <n v="1.125"/>
    <n v="0"/>
    <m/>
    <s v="Toussaint"/>
    <s v="Mero et mixto imperio"/>
    <s v="De mandamento et infra mandamento et de juridictione domus seu castri Devesset"/>
    <s v="Devesset, in turre supra portam"/>
    <s v="Girandus Girandi de Pulinaco"/>
    <s v="Fratre Johanne Meruli"/>
    <s v="Matheo Morelli de Ruppe Paula"/>
    <m/>
    <m/>
    <m/>
    <m/>
  </r>
  <r>
    <n v="1623"/>
    <m/>
    <s v="Ariberius"/>
    <s v="De Hereone"/>
    <s v="Hereone"/>
    <m/>
    <m/>
    <m/>
    <s v="H"/>
    <n v="1343"/>
    <x v="0"/>
    <n v="4"/>
    <s v="Raynaud de Fay"/>
    <s v="Promisit esse fidelis domui Devesseti"/>
    <m/>
    <m/>
    <m/>
    <m/>
    <m/>
    <m/>
    <m/>
    <m/>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Terre petiam"/>
    <m/>
    <m/>
    <m/>
    <n v="0"/>
    <n v="0"/>
    <n v="0"/>
    <n v="0"/>
    <n v="0"/>
    <n v="0"/>
    <n v="0"/>
    <n v="0"/>
    <n v="0"/>
    <n v="0"/>
    <n v="0"/>
    <n v="0"/>
    <n v="0"/>
    <n v="0"/>
    <n v="0"/>
    <n v="0"/>
    <n v="0"/>
    <n v="0"/>
    <n v="0"/>
    <n v="0"/>
    <n v="0"/>
    <n v="0"/>
    <n v="0"/>
    <n v="0"/>
    <n v="0"/>
    <n v="0"/>
    <m/>
    <n v="0.16666666666666666"/>
    <n v="0"/>
    <n v="0"/>
    <n v="0"/>
    <n v="0.16666666666666666"/>
    <n v="0"/>
    <m/>
    <s v="Toussaint"/>
    <m/>
    <m/>
    <s v="Devesset, in turre supra portam"/>
    <s v="Girandus Girandi de Pulinaco"/>
    <s v="Petro de Ruela"/>
    <s v="Johanne de Ruela"/>
    <m/>
    <m/>
    <m/>
    <m/>
  </r>
  <r>
    <n v="1691"/>
    <m/>
    <s v="Andrena"/>
    <s v="De Hereone"/>
    <s v="Lermet"/>
    <m/>
    <s v="Filia Guillermi de Hereone"/>
    <m/>
    <s v="F"/>
    <n v="1343"/>
    <x v="0"/>
    <n v="16"/>
    <s v="Raynaud de Fay"/>
    <s v="Promisit esse fidelis tenementarius domus Devesseti"/>
    <m/>
    <m/>
    <m/>
    <m/>
    <m/>
    <m/>
    <m/>
    <s v="Constractus emphiteotarii"/>
    <s v="Non"/>
    <s v="Non"/>
    <n v="1"/>
    <s v="Non"/>
    <s v="Non"/>
    <s v="Non"/>
    <s v="Non"/>
    <s v="Oui"/>
    <s v="Non"/>
    <s v="Non"/>
    <s v="Non"/>
    <s v="Non"/>
    <s v="Non"/>
    <s v="Non"/>
    <s v="Non"/>
    <s v="Non"/>
    <s v="Non"/>
    <s v="Non"/>
    <s v="Non"/>
    <s v="Non"/>
    <s v="Non"/>
    <s v="Non"/>
    <s v="Non"/>
    <s v="Non"/>
    <s v="Non"/>
    <s v="Non"/>
    <s v="Non"/>
    <s v="Non"/>
    <s v="Non"/>
    <s v="Non"/>
    <s v="Non"/>
    <s v="Non"/>
    <s v="Non"/>
    <s v="Non"/>
    <s v="Non"/>
    <s v="Non"/>
    <n v="1"/>
    <s v="Non"/>
    <s v="Non"/>
    <s v="Non"/>
    <s v="Non"/>
    <s v="Non"/>
    <m/>
    <s v="Bessetam + 3 terra + pratum + jus terre"/>
    <m/>
    <m/>
    <s v="Devesset"/>
    <n v="0"/>
    <n v="0"/>
    <n v="0"/>
    <n v="0"/>
    <n v="0"/>
    <n v="0"/>
    <n v="1"/>
    <n v="0"/>
    <n v="0"/>
    <n v="0"/>
    <n v="0"/>
    <n v="4.875"/>
    <n v="0"/>
    <n v="0"/>
    <n v="0"/>
    <n v="1"/>
    <n v="0"/>
    <n v="0"/>
    <n v="1.2"/>
    <n v="0"/>
    <n v="3.9000000000000004"/>
    <n v="0"/>
    <n v="0"/>
    <n v="0"/>
    <n v="0"/>
    <n v="0"/>
    <m/>
    <n v="1.0833333333333333"/>
    <n v="1"/>
    <n v="0"/>
    <n v="0"/>
    <n v="1.125"/>
    <n v="0"/>
    <m/>
    <s v="Toussaint"/>
    <s v="Mero et mixto imperio"/>
    <s v="De mandamento et infra mandamento castri Devesset"/>
    <s v="Devesset, sub extram"/>
    <s v="Girandus Girandi de Pulinaco"/>
    <s v="Bernardo de Ruppe clerico"/>
    <s v="Johanne Sabaterii de Chambone"/>
    <s v="Armandia"/>
    <m/>
    <m/>
    <m/>
  </r>
  <r>
    <n v="1621"/>
    <m/>
    <s v="Ariberius + Petrus"/>
    <s v="De Hereone + Bunents de Hereone"/>
    <s v="Hereone"/>
    <m/>
    <s v="Ariberius filius Poncii de Hereone"/>
    <m/>
    <s v="G"/>
    <n v="1343"/>
    <x v="0"/>
    <n v="4"/>
    <s v="Raynaud de Fay"/>
    <s v="Promisit esse fidelis castro Devesseti"/>
    <m/>
    <m/>
    <m/>
    <m/>
    <m/>
    <m/>
    <m/>
    <s v="Constractus emphiteotarii"/>
    <s v="Non"/>
    <s v="Non"/>
    <n v="0.5"/>
    <s v="Non"/>
    <s v="Oui"/>
    <s v="Non"/>
    <n v="1"/>
    <s v="Non"/>
    <s v="Non"/>
    <s v="Non"/>
    <s v="Non"/>
    <s v="Non"/>
    <s v="Non"/>
    <s v="Non"/>
    <s v="Non"/>
    <s v="Non"/>
    <s v="Non"/>
    <s v="Non"/>
    <s v="Non"/>
    <s v="Non"/>
    <s v="Non"/>
    <s v="Non"/>
    <s v="Non"/>
    <s v="Non"/>
    <s v="Non"/>
    <s v="Non"/>
    <s v="Non"/>
    <s v="Non"/>
    <s v="Non"/>
    <s v="Non"/>
    <s v="Non"/>
    <s v="Non"/>
    <s v="Non"/>
    <s v="Non"/>
    <s v="Non"/>
    <s v="Non"/>
    <s v="Non"/>
    <s v="Non"/>
    <s v="Non"/>
    <s v="Non"/>
    <s v="Non"/>
    <s v="Non"/>
    <m/>
    <s v="Partem nemus + pasturale + medietatem prati"/>
    <m/>
    <m/>
    <m/>
    <n v="0"/>
    <n v="0"/>
    <n v="0"/>
    <n v="0"/>
    <n v="0"/>
    <n v="0"/>
    <n v="0"/>
    <n v="0"/>
    <n v="0"/>
    <n v="0"/>
    <n v="0"/>
    <n v="0"/>
    <n v="0"/>
    <n v="0"/>
    <n v="0"/>
    <n v="0"/>
    <n v="0"/>
    <n v="0"/>
    <n v="0"/>
    <n v="0"/>
    <n v="0"/>
    <n v="0"/>
    <n v="0"/>
    <n v="0"/>
    <n v="0"/>
    <n v="0"/>
    <m/>
    <n v="0.83333333333333337"/>
    <n v="0"/>
    <n v="0"/>
    <n v="0"/>
    <n v="0.83333333333333337"/>
    <n v="0"/>
    <s v="Censu et talha"/>
    <s v="Toussaint"/>
    <s v="Mero et mixto imperio"/>
    <s v="De mandamento et infra mandamento et de juridictione omnimoda castri Devesset"/>
    <s v="Devesset, in turre supra portam"/>
    <s v="Girandus Girandi de Pulinaco"/>
    <s v="Petro de Ruela"/>
    <s v="Johanne de Ruela"/>
    <m/>
    <m/>
    <m/>
    <m/>
  </r>
  <r>
    <n v="331"/>
    <m/>
    <s v="Girandus et Martinus"/>
    <s v="De la Boscha"/>
    <s v="La Boscha"/>
    <m/>
    <m/>
    <m/>
    <s v="G"/>
    <n v="1343"/>
    <x v="0"/>
    <n v="2"/>
    <s v="Raynaud de Fay"/>
    <s v="Homo-licgius, justitabilis et expletabilis"/>
    <s v="Talhabilis ad omnimodas voluntatis"/>
    <s v="Non"/>
    <s v="Oui"/>
    <s v="Oui"/>
    <s v="Oui"/>
    <s v="Non"/>
    <s v="Avec bœufs"/>
    <s v="Contractus emphiteotitarii"/>
    <s v="Oui"/>
    <s v="Oui"/>
    <s v="Oui"/>
    <s v="Oui"/>
    <s v="Oui"/>
    <s v="Oui"/>
    <s v="Oui"/>
    <s v="Non"/>
    <s v="Oui"/>
    <s v="Oui"/>
    <s v="Oui"/>
    <s v="Non"/>
    <s v="Non"/>
    <s v="Non"/>
    <n v="1"/>
    <s v="Non"/>
    <s v="Non"/>
    <s v="Non"/>
    <s v="Non"/>
    <s v="Non"/>
    <s v="Non"/>
    <s v="Non"/>
    <s v="Non"/>
    <s v="Non"/>
    <s v="Non"/>
    <s v="Non"/>
    <s v="Non"/>
    <s v="Non"/>
    <s v="Non"/>
    <s v="Non"/>
    <s v="Non"/>
    <s v="Non"/>
    <s v="Non"/>
    <s v="Non"/>
    <s v="Non"/>
    <s v="Non"/>
    <s v="Non"/>
    <s v="Non"/>
    <s v="Non"/>
    <s v="Non"/>
    <s v="Non"/>
    <s v="Non"/>
    <m/>
    <s v="Assensamento del Rochaynli et de Las Chalmassas"/>
    <s v="La Boscha"/>
    <m/>
    <s v="Tence"/>
    <n v="2"/>
    <n v="0"/>
    <n v="0"/>
    <n v="0"/>
    <n v="1"/>
    <n v="0"/>
    <n v="1"/>
    <n v="0"/>
    <n v="0"/>
    <n v="0"/>
    <n v="0"/>
    <n v="43.875"/>
    <n v="0"/>
    <n v="1"/>
    <n v="0"/>
    <n v="0"/>
    <n v="0"/>
    <n v="0"/>
    <n v="0"/>
    <n v="0"/>
    <n v="19.5"/>
    <n v="0"/>
    <n v="0"/>
    <n v="0"/>
    <n v="0"/>
    <n v="0"/>
    <s v="Baylliagio"/>
    <n v="10"/>
    <n v="0"/>
    <n v="0"/>
    <n v="0"/>
    <n v="10"/>
    <n v="0"/>
    <s v="Censu et talha"/>
    <s v="Toussaint"/>
    <s v="Merum et mixtum imperium "/>
    <s v="Mandemento et infra mandamentum juridictione loci et castri de Chalmariais"/>
    <s v="Devesset, in turre supra portam"/>
    <s v="Girandus Girandi de Pulinaco"/>
    <s v="Fratre Johane Meruli"/>
    <s v="Matheo Bergii de la Boscha"/>
    <m/>
    <m/>
    <m/>
    <m/>
  </r>
  <r>
    <n v="1792"/>
    <m/>
    <s v="Vitalis"/>
    <s v="De la Chalin"/>
    <s v="Chalma"/>
    <m/>
    <m/>
    <m/>
    <s v="H"/>
    <n v="1344"/>
    <x v="4"/>
    <n v="13"/>
    <s v="Raynaud de Fay"/>
    <s v="Homo-licgius, justitabilis et expletabilis"/>
    <m/>
    <s v="Non"/>
    <s v="Oui"/>
    <s v="Oui"/>
    <s v="Oui"/>
    <s v="Non"/>
    <m/>
    <s v="Constractus emphiteotarii"/>
    <n v="1"/>
    <n v="1"/>
    <s v="Oui"/>
    <s v="Oui"/>
    <s v="Oui"/>
    <s v="Oui"/>
    <s v="Oui"/>
    <s v="Non"/>
    <s v="Non"/>
    <s v="Non"/>
    <s v="Non"/>
    <s v="Oui"/>
    <s v="Non"/>
    <s v="Non"/>
    <s v="Non"/>
    <s v="Non"/>
    <s v="Non"/>
    <s v="Non"/>
    <s v="Non"/>
    <s v="Non"/>
    <s v="Non"/>
    <s v="Non"/>
    <s v="Non"/>
    <s v="Non"/>
    <s v="Oui"/>
    <s v="Non"/>
    <s v="Non"/>
    <s v="Non"/>
    <s v="Non"/>
    <s v="Non"/>
    <s v="Non"/>
    <s v="Non"/>
    <s v="Non"/>
    <s v="Non"/>
    <s v="Non"/>
    <s v="Non"/>
    <s v="Non"/>
    <s v="Non"/>
    <s v="Non"/>
    <s v="Non"/>
    <s v="Non"/>
    <s v="Oui"/>
    <m/>
    <s v="Domus + possessiones + pratum + tenementorium"/>
    <s v="Loco et territorio de Chalma prope Chaputetum"/>
    <m/>
    <s v="Devesset"/>
    <n v="1"/>
    <n v="0"/>
    <n v="0"/>
    <n v="0"/>
    <n v="0"/>
    <n v="0"/>
    <n v="7.5"/>
    <n v="1"/>
    <n v="0"/>
    <n v="0"/>
    <n v="0"/>
    <n v="39"/>
    <n v="0"/>
    <n v="0"/>
    <n v="7.5"/>
    <n v="0"/>
    <n v="0"/>
    <n v="0"/>
    <n v="0"/>
    <n v="0"/>
    <n v="36.5625"/>
    <n v="0"/>
    <n v="0"/>
    <n v="0"/>
    <n v="0"/>
    <n v="0"/>
    <s v="Domus + pratum + tenementarium"/>
    <n v="4.166666666666667"/>
    <n v="0"/>
    <n v="0"/>
    <n v="0"/>
    <n v="4.166666666666667"/>
    <n v="0.16666666666666666"/>
    <s v="Censu et talha"/>
    <s v="Toussaint"/>
    <m/>
    <m/>
    <s v="Devesset, in turre supra portam"/>
    <s v="Girandus Girandi de Pulinaco"/>
    <s v="Petro de Monte Rotondo"/>
    <s v="Petro Carbonis de Sancto Agrippano"/>
    <s v="Stephano Solherii"/>
    <m/>
    <m/>
    <m/>
  </r>
  <r>
    <n v="1801"/>
    <m/>
    <s v="Petrus et Armandos"/>
    <s v="De la Chalin"/>
    <s v="Chalma"/>
    <m/>
    <s v="Petrus filius Guillermi de la Chalin condam et Armandos nepos Guillermi de la Chalin condam"/>
    <m/>
    <s v="G"/>
    <n v="1344"/>
    <x v="4"/>
    <n v="13"/>
    <s v="Raynaud de Fay"/>
    <s v="Promisit esse fidelis domui Devesseti"/>
    <m/>
    <m/>
    <m/>
    <m/>
    <m/>
    <m/>
    <m/>
    <s v="Constractus emphiteotarii"/>
    <s v="Non"/>
    <s v="Non"/>
    <s v="Non"/>
    <s v="Non"/>
    <s v="Non"/>
    <s v="Non"/>
    <s v="Non"/>
    <s v="Non"/>
    <s v="Non"/>
    <s v="Non"/>
    <s v="Non"/>
    <s v="Non"/>
    <n v="1"/>
    <s v="Non"/>
    <s v="Non"/>
    <s v="Non"/>
    <s v="Non"/>
    <s v="Non"/>
    <s v="Non"/>
    <s v="Non"/>
    <s v="Non"/>
    <s v="Non"/>
    <s v="Non"/>
    <s v="Non"/>
    <s v="Non"/>
    <s v="Non"/>
    <s v="Non"/>
    <s v="Non"/>
    <s v="Non"/>
    <s v="Non"/>
    <s v="Non"/>
    <s v="Non"/>
    <s v="Non"/>
    <s v="Non"/>
    <s v="Non"/>
    <s v="Non"/>
    <s v="Non"/>
    <s v="Non"/>
    <s v="Non"/>
    <n v="1"/>
    <s v="Non"/>
    <s v="Non"/>
    <m/>
    <s v="Calmum + mansum"/>
    <m/>
    <m/>
    <s v="Devesset"/>
    <n v="0"/>
    <n v="0"/>
    <n v="0"/>
    <n v="0"/>
    <n v="0"/>
    <n v="0"/>
    <n v="5"/>
    <n v="1"/>
    <n v="0"/>
    <n v="0"/>
    <n v="0"/>
    <n v="26.8125"/>
    <n v="0"/>
    <n v="1"/>
    <n v="0.5"/>
    <n v="0"/>
    <n v="0"/>
    <n v="0"/>
    <n v="0"/>
    <n v="0"/>
    <n v="21.9375"/>
    <n v="0"/>
    <n v="0"/>
    <n v="0"/>
    <n v="0"/>
    <n v="0"/>
    <s v="Mansum + calmam"/>
    <n v="6.166666666666667"/>
    <n v="0"/>
    <n v="0"/>
    <n v="0"/>
    <n v="6.166666666666667"/>
    <n v="0"/>
    <m/>
    <s v="Toussaint"/>
    <m/>
    <m/>
    <s v="Devesset, in turre supra portam"/>
    <s v="Girandus Girandi de Pulinaco"/>
    <s v="Petro de Monte Rotondo"/>
    <s v="Petro Carbonis de Sancto Agrippano"/>
    <s v="Stephano Solherii"/>
    <m/>
    <m/>
    <m/>
  </r>
  <r>
    <n v="1382"/>
    <m/>
    <s v="Armandus"/>
    <s v="De la Chalin"/>
    <s v="Rilhac"/>
    <m/>
    <m/>
    <s v="Nomine Benssor Bocharde eius uxoris filis condam Vitalis Bochardi"/>
    <s v="H"/>
    <n v="1342"/>
    <x v="12"/>
    <n v="15"/>
    <s v="Raynaud de Fay"/>
    <s v="Homo-licgius et justitiabilis"/>
    <m/>
    <s v="Non"/>
    <s v="Oui"/>
    <s v="Oui"/>
    <s v="Oui"/>
    <s v="Non"/>
    <s v="Avec bœufs et animaux"/>
    <m/>
    <s v="Non"/>
    <s v="Non"/>
    <s v="Oui"/>
    <s v="Non"/>
    <n v="1"/>
    <s v="Non"/>
    <s v="Non"/>
    <n v="1"/>
    <s v="Non"/>
    <s v="Non"/>
    <s v="Non"/>
    <s v="Non"/>
    <s v="Non"/>
    <s v="Non"/>
    <s v="Non"/>
    <s v="Non"/>
    <s v="Non"/>
    <s v="Non"/>
    <s v="Non"/>
    <s v="Non"/>
    <s v="Non"/>
    <s v="Non"/>
    <s v="Non"/>
    <s v="Non"/>
    <s v="Non"/>
    <s v="Non"/>
    <s v="Non"/>
    <s v="Non"/>
    <s v="Non"/>
    <s v="Non"/>
    <s v="Non"/>
    <s v="Non"/>
    <s v="Non"/>
    <s v="Non"/>
    <s v="Non"/>
    <s v="Non"/>
    <s v="Non"/>
    <s v="Non"/>
    <s v="Non"/>
    <s v="Non"/>
    <s v="Non"/>
    <s v="Non"/>
    <m/>
    <s v="Neus + terra + prata"/>
    <m/>
    <s v="Femme"/>
    <s v="Devesset"/>
    <n v="0"/>
    <n v="0"/>
    <n v="0"/>
    <n v="0"/>
    <n v="0"/>
    <n v="0"/>
    <n v="0.5"/>
    <n v="0"/>
    <n v="1"/>
    <n v="0"/>
    <n v="0"/>
    <n v="12.1875"/>
    <n v="0"/>
    <n v="0"/>
    <n v="1"/>
    <n v="1"/>
    <n v="0"/>
    <n v="0"/>
    <n v="0"/>
    <n v="0"/>
    <n v="7.3125"/>
    <n v="0"/>
    <n v="0"/>
    <n v="0"/>
    <n v="0"/>
    <n v="0"/>
    <m/>
    <n v="3.4166666666666665"/>
    <n v="0"/>
    <n v="0"/>
    <n v="0"/>
    <n v="3.4166666666666665"/>
    <n v="0"/>
    <s v="Censu et talha"/>
    <s v="Toussaint"/>
    <s v="Mero et mixto imperio"/>
    <s v="De mandamentum et infra mandamentum et juridictionem omnimoda castri Devesseti"/>
    <s v="Devesset, in turre supra portam"/>
    <s v="Girandus Girandi de Pulinaco"/>
    <m/>
    <m/>
    <m/>
    <m/>
    <m/>
    <m/>
  </r>
  <r>
    <n v="1451"/>
    <m/>
    <s v="Petrus et Martinus"/>
    <s v="De la Costa"/>
    <s v="La Costa"/>
    <m/>
    <m/>
    <m/>
    <s v="G"/>
    <n v="1342"/>
    <x v="3"/>
    <s v="?"/>
    <s v="Raynaud de Fay"/>
    <s v="Homo-licgius, justitabilis et expletabilis"/>
    <m/>
    <s v="Non"/>
    <s v="Oui"/>
    <s v="Oui"/>
    <s v="Oui"/>
    <s v="Non"/>
    <m/>
    <m/>
    <n v="1"/>
    <n v="1"/>
    <s v="Non"/>
    <s v="Non"/>
    <s v="Non"/>
    <s v="Non"/>
    <s v="Non"/>
    <n v="1"/>
    <s v="Non"/>
    <s v="Non"/>
    <s v="Non"/>
    <s v="Non"/>
    <s v="Non"/>
    <s v="Non"/>
    <s v="Non"/>
    <s v="Non"/>
    <s v="Non"/>
    <s v="Non"/>
    <s v="Non"/>
    <s v="Non"/>
    <s v="Non"/>
    <s v="Non"/>
    <s v="Non"/>
    <s v="Non"/>
    <s v="Non"/>
    <s v="Non"/>
    <s v="Non"/>
    <s v="Non"/>
    <s v="Non"/>
    <s v="Non"/>
    <s v="Non"/>
    <s v="Non"/>
    <s v="Non"/>
    <s v="Non"/>
    <s v="Non"/>
    <s v="Non"/>
    <s v="Non"/>
    <s v="Non"/>
    <s v="Non"/>
    <s v="Non"/>
    <s v="Non"/>
    <s v="Oui"/>
    <s v="Bien au nom Martinus"/>
    <s v="Terra"/>
    <s v="Loco et territorio de la Costa"/>
    <m/>
    <s v="Devesset"/>
    <n v="0"/>
    <n v="0"/>
    <n v="0"/>
    <n v="0"/>
    <n v="0"/>
    <n v="0"/>
    <n v="0"/>
    <n v="1"/>
    <n v="0"/>
    <n v="0"/>
    <n v="0"/>
    <n v="2.4375"/>
    <n v="0"/>
    <n v="0"/>
    <n v="0"/>
    <n v="1.6"/>
    <n v="0"/>
    <n v="0"/>
    <n v="0"/>
    <n v="0"/>
    <n v="3.9000000000000004"/>
    <n v="0"/>
    <n v="0"/>
    <n v="0"/>
    <n v="0"/>
    <n v="0"/>
    <s v="Terra"/>
    <n v="1.6666666666666667"/>
    <n v="0"/>
    <n v="0"/>
    <n v="1.5"/>
    <n v="1.6979166666666667"/>
    <n v="0"/>
    <s v="Censu et talha"/>
    <m/>
    <s v="Mero et mixto imperio"/>
    <s v="In mandamentum et de mandamento castri Devesseti"/>
    <s v="Devesset"/>
    <s v="Girandus Girandi de Pulinaco"/>
    <s v="Religioso viro fratre Johanne Meuli Hospitalis"/>
    <s v="Bernardo de Ruppe clerico"/>
    <s v="Petro Duneria"/>
    <m/>
    <m/>
    <m/>
  </r>
  <r>
    <n v="1721"/>
    <m/>
    <s v="Guillermus"/>
    <s v="De la Fauria de Sancto Agrippano"/>
    <s v="Ruppe"/>
    <m/>
    <m/>
    <m/>
    <s v="H"/>
    <n v="1343"/>
    <x v="0"/>
    <n v="17"/>
    <s v="Raynaud de Fay"/>
    <s v="Promisit esse fidelis tenementarius domus Devesseti"/>
    <m/>
    <m/>
    <m/>
    <m/>
    <m/>
    <m/>
    <m/>
    <s v="Constractus emphiteotarii"/>
    <s v="Non"/>
    <s v="Non"/>
    <s v="Non"/>
    <s v="Non"/>
    <n v="0.2"/>
    <s v="Non"/>
    <s v="Non"/>
    <s v="Non"/>
    <s v="Non"/>
    <s v="Non"/>
    <s v="Non"/>
    <s v="Non"/>
    <s v="Non"/>
    <s v="Non"/>
    <s v="Non"/>
    <s v="Non"/>
    <s v="Non"/>
    <s v="Non"/>
    <s v="Non"/>
    <s v="Non"/>
    <s v="Non"/>
    <s v="Non"/>
    <s v="Non"/>
    <s v="Non"/>
    <s v="Non"/>
    <s v="Non"/>
    <s v="Non"/>
    <s v="Non"/>
    <s v="Non"/>
    <s v="Non"/>
    <s v="Non"/>
    <s v="Non"/>
    <s v="Non"/>
    <s v="Non"/>
    <s v="Non"/>
    <s v="Non"/>
    <s v="Non"/>
    <s v="Non"/>
    <s v="Non"/>
    <s v="Non"/>
    <s v="Non"/>
    <s v="Non"/>
    <m/>
    <s v="Quinta partem nemore"/>
    <m/>
    <m/>
    <m/>
    <n v="0"/>
    <n v="0"/>
    <n v="0"/>
    <n v="0"/>
    <n v="0"/>
    <n v="0"/>
    <n v="0"/>
    <n v="0"/>
    <n v="0"/>
    <n v="0"/>
    <n v="0"/>
    <n v="0"/>
    <n v="0"/>
    <n v="0"/>
    <n v="0"/>
    <n v="0"/>
    <n v="0"/>
    <n v="0"/>
    <n v="0"/>
    <n v="0"/>
    <n v="0"/>
    <n v="0"/>
    <n v="0"/>
    <n v="0"/>
    <n v="0"/>
    <n v="0"/>
    <m/>
    <n v="0.33333333333333331"/>
    <n v="0"/>
    <n v="0"/>
    <n v="0"/>
    <n v="0.33333333333333331"/>
    <n v="0"/>
    <m/>
    <s v="Toussaint"/>
    <m/>
    <m/>
    <s v="Devesset, in turre supra portam"/>
    <s v="Girandus Girandi de Pulinaco"/>
    <s v="Johanne Sabaterii"/>
    <s v="Girando Chapati de Chambone"/>
    <m/>
    <m/>
    <m/>
    <m/>
  </r>
  <r>
    <n v="1581"/>
    <m/>
    <s v="Michael"/>
    <s v="De la Fontetas"/>
    <s v="Vunha"/>
    <s v="Habitator mansi de Vunha"/>
    <m/>
    <s v="Pro ac nomine Petri eius fratris"/>
    <s v="H"/>
    <n v="1343"/>
    <x v="3"/>
    <n v="19"/>
    <s v="Raynaud de Fay"/>
    <s v="Homo-licgius, justitabilis et expletabilis"/>
    <m/>
    <s v="Non"/>
    <s v="Oui"/>
    <s v="Oui"/>
    <s v="Oui"/>
    <s v="Non"/>
    <s v="Avec bœufs et animaux"/>
    <s v="Constractus emphiteotarii"/>
    <n v="1"/>
    <n v="1"/>
    <s v="Oui"/>
    <s v="Non"/>
    <n v="1"/>
    <s v="Non"/>
    <s v="Non"/>
    <s v="Oui"/>
    <s v="Non"/>
    <s v="Non"/>
    <s v="Non"/>
    <s v="Non"/>
    <s v="Non"/>
    <s v="Non"/>
    <s v="Non"/>
    <s v="Non"/>
    <s v="Non"/>
    <s v="Non"/>
    <s v="Non"/>
    <n v="1"/>
    <s v="Non"/>
    <s v="Non"/>
    <s v="Non"/>
    <s v="Non"/>
    <s v="Non"/>
    <s v="Non"/>
    <s v="Non"/>
    <s v="Non"/>
    <s v="Non"/>
    <s v="Non"/>
    <s v="Non"/>
    <s v="Non"/>
    <s v="Non"/>
    <s v="Non"/>
    <s v="Non"/>
    <n v="1"/>
    <s v="Non"/>
    <s v="Non"/>
    <s v="Non"/>
    <s v="Non"/>
    <s v="Non"/>
    <s v="Oui"/>
    <s v="Aquisivit a Laurenti de Montabonel cum prate sua"/>
    <s v="Domum + prati + 2 possessiones + Bessaam + petia"/>
    <m/>
    <s v="Frère"/>
    <s v="Devesset"/>
    <n v="0.5"/>
    <n v="0"/>
    <n v="1"/>
    <n v="9.75"/>
    <n v="0"/>
    <n v="0"/>
    <n v="0"/>
    <n v="1"/>
    <n v="0"/>
    <n v="0"/>
    <n v="0"/>
    <n v="2.4375"/>
    <n v="0"/>
    <n v="0"/>
    <n v="1"/>
    <n v="1.5"/>
    <n v="1"/>
    <n v="0"/>
    <n v="0"/>
    <n v="0"/>
    <n v="18.28125"/>
    <n v="0"/>
    <n v="0"/>
    <n v="0"/>
    <n v="0"/>
    <n v="0"/>
    <s v="Possessiones &amp; Bessaam + petiam + censu suo dela Las Putetas"/>
    <n v="6.083333333333333"/>
    <n v="0"/>
    <n v="0"/>
    <n v="0"/>
    <n v="6.083333333333333"/>
    <n v="0.16666666666666666"/>
    <s v="Censu, argenti et talhia"/>
    <s v="Toussaint"/>
    <s v="Mero et mixto imperio"/>
    <s v="In mandamento et de mendamento domus et castri Devesseti"/>
    <s v="Devesset, in turre supra portam"/>
    <s v="Girandus Girandi de Pulinaco"/>
    <s v="Peireto de Montabonel"/>
    <s v="Andree de Canaleta de Sancto Savatore"/>
    <m/>
    <m/>
    <m/>
    <m/>
  </r>
  <r>
    <n v="1284"/>
    <m/>
    <s v="Laurentia"/>
    <s v="De la Gardeta"/>
    <s v="Avenas"/>
    <m/>
    <s v="Uxor Michaelis de la Gardeta condam"/>
    <s v="Nomine Agnetis filie sue"/>
    <s v="F"/>
    <n v="1343"/>
    <x v="2"/>
    <n v="10"/>
    <s v="Raynaud de Fay"/>
    <s v="Promisit esse fidelis tenementarius domus Devesseti"/>
    <m/>
    <m/>
    <m/>
    <m/>
    <m/>
    <m/>
    <m/>
    <s v="Constractus emphiteotarii"/>
    <n v="1"/>
    <n v="3"/>
    <n v="1"/>
    <s v="Non"/>
    <s v="Non"/>
    <s v="Non"/>
    <s v="Non"/>
    <n v="5"/>
    <s v="Non"/>
    <s v="Non"/>
    <s v="Non"/>
    <s v="Non"/>
    <s v="Non"/>
    <s v="Non"/>
    <s v="Non"/>
    <s v="Non"/>
    <s v="Non"/>
    <s v="Non"/>
    <s v="Non"/>
    <s v="Non"/>
    <s v="Non"/>
    <s v="Non"/>
    <s v="Non"/>
    <s v="Non"/>
    <s v="Non"/>
    <s v="Non"/>
    <s v="Non"/>
    <s v="Non"/>
    <s v="Non"/>
    <s v="Non"/>
    <s v="Non"/>
    <s v="Non"/>
    <s v="Non"/>
    <s v="Non"/>
    <s v="Non"/>
    <s v="Non"/>
    <s v="Non"/>
    <s v="Non"/>
    <s v="Non"/>
    <s v="Non"/>
    <s v="Non"/>
    <s v="Non"/>
    <m/>
    <s v="1 domus + 3 ortum + 3 petiam terre + 2 terre + 1 pratum"/>
    <m/>
    <s v="Fille"/>
    <m/>
    <n v="0"/>
    <n v="0"/>
    <n v="0"/>
    <n v="0"/>
    <n v="0"/>
    <n v="0"/>
    <n v="0"/>
    <n v="0"/>
    <n v="0"/>
    <n v="0"/>
    <n v="0"/>
    <n v="0"/>
    <n v="0"/>
    <n v="0"/>
    <n v="0"/>
    <n v="0"/>
    <n v="0"/>
    <n v="0"/>
    <n v="0"/>
    <n v="0"/>
    <n v="0"/>
    <n v="0"/>
    <n v="0"/>
    <n v="0"/>
    <n v="0"/>
    <n v="0"/>
    <m/>
    <n v="0"/>
    <n v="3"/>
    <n v="0"/>
    <n v="0"/>
    <n v="0.125"/>
    <n v="0"/>
    <m/>
    <s v="Toussaint"/>
    <m/>
    <m/>
    <s v="Apud Avenas, in domo dicti Poncii"/>
    <s v="Girandus Girandi de Pulinaco"/>
    <s v="Fratre Johane Meruli"/>
    <s v="Guillermo Grosseti"/>
    <s v="Vitaloro filio Johannis Ruffi de Aymoneto de Sancto Agrippavio"/>
    <m/>
    <m/>
    <m/>
  </r>
  <r>
    <n v="1452"/>
    <s v="Page dure à lire"/>
    <s v="Petronilla"/>
    <s v="De la Rocha"/>
    <s v="Ruppe"/>
    <m/>
    <s v="Uxori Guillermonis de la Rocha"/>
    <s v="Nomine liberorum suorum"/>
    <s v="H"/>
    <n v="1342"/>
    <x v="3"/>
    <s v="?"/>
    <s v="Raynaud de Fay"/>
    <s v="Mulier-licgia, justitabilis et expletabilis"/>
    <m/>
    <s v="Non"/>
    <s v="Oui"/>
    <s v="Oui"/>
    <s v="Oui"/>
    <s v="Non"/>
    <s v="Avec bœufs et animaux"/>
    <m/>
    <n v="1"/>
    <n v="2"/>
    <n v="4"/>
    <s v="Non"/>
    <s v="Oui"/>
    <s v="Non"/>
    <s v="Oui"/>
    <s v="Non"/>
    <s v="Non"/>
    <s v="Non"/>
    <s v="Non"/>
    <s v="Non"/>
    <s v="Non"/>
    <s v="Non"/>
    <s v="Non"/>
    <s v="Non"/>
    <n v="1"/>
    <s v="Oui"/>
    <s v="Non"/>
    <s v="Oui"/>
    <s v="Non"/>
    <s v="Non"/>
    <s v="Non"/>
    <s v="Non"/>
    <s v="Non"/>
    <s v="Non"/>
    <s v="Non"/>
    <s v="Oui"/>
    <s v="Non"/>
    <s v="Non"/>
    <s v="Non"/>
    <s v="Non"/>
    <s v="Oui"/>
    <s v="Non"/>
    <s v="Non"/>
    <s v="Non"/>
    <s v="Non"/>
    <s v="Non"/>
    <s v="Non"/>
    <s v="Non"/>
    <s v="Non"/>
    <s v="Non"/>
    <m/>
    <s v="1 domus + 2 orti + 1 garaitum + 4 petiae + 4 prati + 11 partem petie + partem territorii communi + partem patille + partem dens meses + possessiones + seytorata vinee + pars vinee + ? + nemora + pasturalia"/>
    <s v="Loco et tenementum de Ruppe"/>
    <s v="Enfants"/>
    <s v="Devesset"/>
    <n v="0.5"/>
    <n v="0"/>
    <n v="0"/>
    <n v="0"/>
    <n v="0"/>
    <n v="0"/>
    <n v="6"/>
    <n v="0"/>
    <n v="0"/>
    <n v="0"/>
    <n v="0"/>
    <n v="29.25"/>
    <n v="0"/>
    <n v="0"/>
    <n v="3"/>
    <n v="3"/>
    <n v="0"/>
    <n v="0"/>
    <n v="0"/>
    <n v="0"/>
    <n v="21.9375"/>
    <n v="0"/>
    <n v="0"/>
    <n v="0"/>
    <n v="0"/>
    <n v="0"/>
    <m/>
    <n v="7.166666666666667"/>
    <n v="0"/>
    <n v="0"/>
    <n v="0"/>
    <n v="7.166666666666667"/>
    <n v="0"/>
    <m/>
    <m/>
    <s v="Mero et mixto imperio"/>
    <s v="De mandamento […] castri et domus Devesseti"/>
    <s v="Devesset"/>
    <s v="Girandus Girandi de Pulinaco"/>
    <s v="Religioso viro fratre Johanne Meuli Hospitalis"/>
    <s v="Bernardo de Ruppe clerico"/>
    <s v="Petro Duneria"/>
    <m/>
    <m/>
    <m/>
  </r>
  <r>
    <n v="1401"/>
    <s v="Manque le début"/>
    <s v="Guilhermus + Jean et Girandus + Michael et Blancha + Armandus + Durandus et Vitalis + Johanneta + Guillermus + Johannes + Stephanus"/>
    <s v="De la Rocha + De Rilhac + Maysonitz + De Ruppe + Verhilati + Bartholomei de Ruppe + de Crorum de Ruppe + Roerii + Raspaut"/>
    <s v="Rilhac"/>
    <m/>
    <s v="Jean et Girandus de Rilhac sunt fratres + Armandus de Ruppe filius Petri de Ruppe + Johanetta fillia Guillermi de Ruppe"/>
    <s v="Johannes Roerii nomine Peyruchonis Roerii et Bartholomei Roerii eius fratrum, Jacmeta uxor Peyruchonis Roerii et Petris Duneria et Laurenti Duneria eius fratrum"/>
    <s v="G"/>
    <s v="?"/>
    <x v="11"/>
    <s v="?"/>
    <s v="Raynaud de Fay"/>
    <m/>
    <m/>
    <m/>
    <m/>
    <m/>
    <m/>
    <m/>
    <m/>
    <m/>
    <s v="Non"/>
    <s v="Non"/>
    <s v="Non"/>
    <s v="Non"/>
    <n v="2"/>
    <s v="Non"/>
    <s v="Non"/>
    <s v="Non"/>
    <s v="Non"/>
    <s v="Non"/>
    <s v="Non"/>
    <s v="Non"/>
    <s v="Non"/>
    <s v="Non"/>
    <s v="Non"/>
    <s v="Non"/>
    <s v="Non"/>
    <s v="Oui"/>
    <s v="Non"/>
    <s v="Non"/>
    <s v="Non"/>
    <s v="Non"/>
    <s v="Non"/>
    <s v="Non"/>
    <s v="Non"/>
    <s v="Non"/>
    <s v="Non"/>
    <s v="Non"/>
    <s v="Non"/>
    <s v="Non"/>
    <s v="Oui"/>
    <s v="Non"/>
    <s v="Non"/>
    <s v="Non"/>
    <s v="Non"/>
    <s v="Non"/>
    <s v="Non"/>
    <s v="Non"/>
    <s v="Non"/>
    <s v="Non"/>
    <s v="Non"/>
    <s v="Non"/>
    <s v="Apparemment cens qeu pour Jean de Rilhac"/>
    <s v="2 nemus + partem patilius + passetam"/>
    <m/>
    <s v="Frère + femme + beau-frère"/>
    <s v="Devesset"/>
    <n v="1"/>
    <n v="0"/>
    <n v="0"/>
    <n v="0"/>
    <n v="0"/>
    <n v="0"/>
    <n v="0"/>
    <n v="0"/>
    <n v="1"/>
    <n v="0"/>
    <n v="0"/>
    <n v="9.75"/>
    <n v="0"/>
    <n v="0"/>
    <n v="3"/>
    <n v="0"/>
    <n v="0"/>
    <n v="0"/>
    <n v="0"/>
    <n v="0"/>
    <n v="14.625"/>
    <n v="0"/>
    <n v="0"/>
    <n v="0"/>
    <n v="0"/>
    <n v="0"/>
    <m/>
    <n v="2.3333333333333335"/>
    <n v="0"/>
    <n v="0"/>
    <n v="0"/>
    <n v="2.3333333333333335"/>
    <n v="0"/>
    <s v="Censu"/>
    <s v="Toussaint"/>
    <s v="Mero et mixto imperio"/>
    <s v="De mandamento et juridictione domus Devesseti"/>
    <s v="Devesset, in camera fratris Johannis Meruli"/>
    <s v="Girandus Girandi de Pulinaco"/>
    <s v="Fratre Johanne Meruli"/>
    <s v="Bernardo de Ruppe clerico"/>
    <m/>
    <m/>
    <m/>
    <m/>
  </r>
  <r>
    <n v="1531"/>
    <m/>
    <s v="Symondus"/>
    <s v="De La Valeta"/>
    <s v="La Valeta"/>
    <m/>
    <m/>
    <m/>
    <s v="H"/>
    <n v="1343"/>
    <x v="3"/>
    <n v="17"/>
    <s v="Raynaud de Fay"/>
    <s v="Homo-licgius, justitabilis et expletabilis"/>
    <m/>
    <s v="Non"/>
    <s v="Oui"/>
    <s v="Oui"/>
    <s v="Oui"/>
    <s v="Non"/>
    <s v="Avec bœufs et animaux"/>
    <s v="Constractus emphiteotarii"/>
    <n v="1"/>
    <n v="2"/>
    <n v="2"/>
    <s v="Non"/>
    <s v="Non"/>
    <s v="Non"/>
    <s v="Non"/>
    <s v="Non"/>
    <s v="Non"/>
    <s v="Non"/>
    <s v="Non"/>
    <s v="Non"/>
    <s v="Non"/>
    <s v="Non"/>
    <s v="Non"/>
    <s v="Non"/>
    <s v="Non"/>
    <s v="Non"/>
    <s v="Non"/>
    <n v="8"/>
    <s v="Non"/>
    <s v="Non"/>
    <s v="Non"/>
    <s v="Non"/>
    <s v="Non"/>
    <s v="Non"/>
    <s v="Non"/>
    <s v="Non"/>
    <s v="Non"/>
    <s v="Non"/>
    <s v="Non"/>
    <s v="Non"/>
    <s v="Non"/>
    <s v="Non"/>
    <s v="Non"/>
    <s v="Non"/>
    <s v="Non"/>
    <s v="Non"/>
    <s v="Non"/>
    <s v="Non"/>
    <s v="Non"/>
    <s v="Non"/>
    <m/>
    <s v="Domum + 2 pratum + 2 ortum + 8 petiae"/>
    <m/>
    <m/>
    <s v="Devesset"/>
    <n v="1"/>
    <n v="0"/>
    <n v="0"/>
    <n v="0"/>
    <n v="0"/>
    <n v="1"/>
    <n v="0"/>
    <n v="0"/>
    <n v="0"/>
    <n v="0"/>
    <n v="0"/>
    <n v="19.5"/>
    <n v="0"/>
    <n v="0"/>
    <n v="0"/>
    <n v="0"/>
    <n v="1"/>
    <n v="0"/>
    <n v="0"/>
    <n v="0"/>
    <n v="9.75"/>
    <n v="0"/>
    <n v="0"/>
    <n v="0"/>
    <n v="0"/>
    <n v="0"/>
    <s v="Domum + duorum prati"/>
    <n v="2.8333333333333335"/>
    <n v="0"/>
    <n v="0"/>
    <n v="0"/>
    <n v="2.8333333333333335"/>
    <n v="0"/>
    <m/>
    <s v="Toussaint"/>
    <s v="Mero et mixto imperio"/>
    <s v="De mandamento et de mandamentum juridictione domus Devesseti"/>
    <s v="Devesset, in turre supra portam"/>
    <s v="Girandus Girandi de Pulinaco"/>
    <s v="Johanne de La Valeta"/>
    <s v="Petro Girardi clerico"/>
    <m/>
    <m/>
    <m/>
    <m/>
  </r>
  <r>
    <n v="1551"/>
    <s v="Marge illisible"/>
    <s v="Jacobus"/>
    <s v="De la Valeta Raybrant"/>
    <s v="La Valeta Raybrant"/>
    <m/>
    <m/>
    <m/>
    <s v="H"/>
    <n v="1343"/>
    <x v="3"/>
    <n v="17"/>
    <s v="Raynaud de Fay"/>
    <s v="Homo-licgius, justitabilis et expletabilis"/>
    <m/>
    <s v="Non"/>
    <s v="Oui"/>
    <s v="Oui"/>
    <s v="Oui"/>
    <s v="Non"/>
    <s v="Avec bœufs et animaux"/>
    <s v="Constractus emphiteotarii"/>
    <n v="1"/>
    <n v="2"/>
    <s v="Non"/>
    <s v="Non"/>
    <s v="Non"/>
    <n v="1"/>
    <n v="2"/>
    <s v="Non"/>
    <s v="Non"/>
    <s v="Non"/>
    <s v="Non"/>
    <s v="Non"/>
    <s v="Non"/>
    <s v="Non"/>
    <s v="Non"/>
    <n v="1"/>
    <s v="Non"/>
    <s v="Non"/>
    <s v="Non"/>
    <n v="5"/>
    <s v="Non"/>
    <s v="Non"/>
    <s v="Non"/>
    <s v="Non"/>
    <s v="Non"/>
    <s v="Non"/>
    <s v="Non"/>
    <s v="Non"/>
    <s v="Non"/>
    <s v="Non"/>
    <n v="1"/>
    <s v="Non"/>
    <s v="Non"/>
    <s v="Non"/>
    <s v="Non"/>
    <s v="Non"/>
    <s v="Non"/>
    <s v="Non"/>
    <s v="Non"/>
    <s v="Non"/>
    <s v="Non"/>
    <s v="Non"/>
    <m/>
    <s v="Domum + 2 ortum + ouchiam + + possessiones 5 petiam + passatam + 2 pasturale + pascua"/>
    <s v="Territorio loci de la Valeta Ribrant"/>
    <m/>
    <s v="Devesset"/>
    <n v="1"/>
    <n v="0"/>
    <n v="0"/>
    <n v="0"/>
    <n v="0"/>
    <n v="1"/>
    <n v="0"/>
    <n v="0"/>
    <n v="1"/>
    <n v="0"/>
    <n v="0"/>
    <n v="29.25"/>
    <n v="0"/>
    <n v="0"/>
    <n v="1"/>
    <n v="0"/>
    <n v="0"/>
    <n v="0"/>
    <n v="0"/>
    <n v="0"/>
    <n v="4.875"/>
    <n v="0"/>
    <n v="0"/>
    <n v="0"/>
    <n v="0"/>
    <n v="0"/>
    <s v="Domum, ortum &amp; ouchiam"/>
    <n v="1"/>
    <n v="0"/>
    <n v="0"/>
    <n v="0"/>
    <n v="1"/>
    <n v="0"/>
    <s v="Censu et talha"/>
    <s v="Toussaint"/>
    <s v="Mero et mixto imperio"/>
    <s v="In mandamento et de mendamento castri Devesseti"/>
    <s v="Devesset, in turre supra portam"/>
    <s v="Girandus Girandi de Pulinaco"/>
    <s v="Bartholomeo Fabri de Montefolcont Peneterio "/>
    <s v="Andree de Espaetis"/>
    <m/>
    <m/>
    <m/>
    <m/>
  </r>
  <r>
    <n v="1561"/>
    <m/>
    <s v="Peyrononus"/>
    <s v="De la Valeta Raybrant"/>
    <s v="La Valeta Raybrant"/>
    <m/>
    <s v="Filius Johannis de La Valeta Raybrant"/>
    <s v="Nomine Michaelis eius fratris"/>
    <s v="H"/>
    <n v="1343"/>
    <x v="3"/>
    <n v="17"/>
    <s v="Raynaud de Fay"/>
    <s v="Homo-licgius"/>
    <m/>
    <s v="Non"/>
    <s v="Oui"/>
    <s v="Oui"/>
    <s v="Oui"/>
    <s v="Non"/>
    <s v="Avec bœufs et animaux"/>
    <s v="Contractus olim inter predecessores Peyruchonus et predecessores domini preceptori"/>
    <n v="1"/>
    <n v="2"/>
    <n v="1"/>
    <n v="1"/>
    <s v="Non"/>
    <s v="Non"/>
    <n v="1"/>
    <s v="Non"/>
    <s v="Non"/>
    <s v="Non"/>
    <s v="Non"/>
    <s v="Non"/>
    <s v="Non"/>
    <s v="Non"/>
    <s v="Non"/>
    <s v="Non"/>
    <s v="Non"/>
    <s v="Non"/>
    <s v="Non"/>
    <n v="4"/>
    <s v="Non"/>
    <s v="Non"/>
    <s v="Non"/>
    <s v="Non"/>
    <s v="Non"/>
    <s v="Non"/>
    <s v="Non"/>
    <s v="Non"/>
    <s v="Non"/>
    <s v="Non"/>
    <s v="Non"/>
    <s v="Non"/>
    <s v="Non"/>
    <s v="Non"/>
    <s v="Non"/>
    <s v="Non"/>
    <s v="Non"/>
    <s v="Non"/>
    <s v="Non"/>
    <s v="Non"/>
    <s v="Non"/>
    <s v="Non"/>
    <m/>
    <s v="Domum + pratum + 2 ortum + 4 petia + campum + pasturale + possessiones"/>
    <s v="Territorio de la Valeta"/>
    <s v="Frère"/>
    <s v="Devesset"/>
    <n v="1"/>
    <n v="0"/>
    <n v="0"/>
    <n v="0"/>
    <n v="0"/>
    <n v="0"/>
    <n v="3.5"/>
    <n v="0"/>
    <n v="0"/>
    <n v="0"/>
    <n v="0"/>
    <n v="17.0625"/>
    <n v="0"/>
    <n v="0"/>
    <n v="1"/>
    <n v="0"/>
    <n v="0"/>
    <n v="0"/>
    <n v="0"/>
    <n v="0"/>
    <n v="4.875"/>
    <n v="0"/>
    <n v="0"/>
    <n v="0"/>
    <n v="0"/>
    <n v="0"/>
    <s v="Domum + pratum"/>
    <n v="1.8333333333333333"/>
    <n v="0"/>
    <n v="0"/>
    <n v="0"/>
    <n v="1.8333333333333333"/>
    <n v="0"/>
    <s v="Censu et talha + terres"/>
    <s v="Toussaint"/>
    <s v="Mero et mixto imperio"/>
    <s v="De mandamento et mandamentum castri Devesseti"/>
    <s v="Devesset, in turre supra portam"/>
    <s v="Girandus Girandi de Pulinaco"/>
    <s v="Bartholomeo Fabri de Montefolcont Peneterio "/>
    <s v="Andree de Espaetis"/>
    <m/>
    <m/>
    <m/>
    <m/>
  </r>
  <r>
    <n v="1761"/>
    <s v="Marge illisible"/>
    <s v="Petrus"/>
    <s v="De la Valeta Raybrant"/>
    <s v="La Valeta Raybrant"/>
    <m/>
    <m/>
    <s v="Nomine Jacmete de Gant uxoris Andree eius filii"/>
    <s v="H"/>
    <n v="1343"/>
    <x v="10"/>
    <n v="26"/>
    <s v="Raynaud de Fay"/>
    <s v="Promisit esse fidelis tenementarius domus Devesseti"/>
    <m/>
    <m/>
    <m/>
    <m/>
    <m/>
    <m/>
    <m/>
    <s v="Constractus emphiteotarii"/>
    <s v="Non"/>
    <s v="Non"/>
    <n v="4"/>
    <s v="Non"/>
    <s v="Non"/>
    <s v="Non"/>
    <s v="Oui"/>
    <s v="Oui"/>
    <s v="Non"/>
    <s v="Non"/>
    <s v="Non"/>
    <s v="Non"/>
    <s v="Non"/>
    <s v="Non"/>
    <s v="Non"/>
    <s v="Non"/>
    <s v="Non"/>
    <s v="Non"/>
    <s v="Non"/>
    <n v="1"/>
    <s v="Non"/>
    <s v="Non"/>
    <s v="Non"/>
    <s v="Non"/>
    <s v="Non"/>
    <s v="Non"/>
    <s v="Non"/>
    <s v="Non"/>
    <s v="Non"/>
    <s v="Non"/>
    <s v="Non"/>
    <s v="Non"/>
    <s v="Non"/>
    <n v="2"/>
    <s v="Non"/>
    <s v="Non"/>
    <s v="Non"/>
    <s v="Non"/>
    <s v="Non"/>
    <s v="Non"/>
    <s v="Non"/>
    <s v="Non"/>
    <m/>
    <s v="Terram + Terre petiam + petiam + 4 pratum + 2 levata aque + pasturale + partis pasturacgiorum"/>
    <m/>
    <s v="Bru"/>
    <s v="Devesset"/>
    <n v="0"/>
    <n v="0"/>
    <n v="0"/>
    <n v="0"/>
    <n v="0"/>
    <n v="1"/>
    <n v="1.5"/>
    <n v="0"/>
    <n v="0"/>
    <n v="0"/>
    <n v="0"/>
    <n v="26.8125"/>
    <n v="0"/>
    <n v="1"/>
    <n v="1"/>
    <n v="0"/>
    <n v="0"/>
    <n v="0"/>
    <n v="0"/>
    <n v="0"/>
    <n v="24.375"/>
    <n v="0"/>
    <n v="0"/>
    <n v="0"/>
    <n v="0"/>
    <n v="0"/>
    <s v="Terram + 3 pratum + terre petiam + petiam + pratum et pasturale + buabus levatus aque + partis pasturacgiorum"/>
    <n v="7.833333333333333"/>
    <n v="0"/>
    <n v="0"/>
    <n v="0"/>
    <n v="7.833333333333333"/>
    <n v="0"/>
    <m/>
    <s v="Toussaint"/>
    <m/>
    <m/>
    <s v="Devesset, in turre supra portam"/>
    <s v="Girandus Girandi de Pulinaco"/>
    <s v="Petro de Ruppe al malpinha"/>
    <s v="Matheo de la Cela"/>
    <s v="Guillermo Chambalonia"/>
    <s v="Martini Gerardi"/>
    <m/>
    <m/>
  </r>
  <r>
    <n v="1582"/>
    <m/>
    <s v="Bartholomea"/>
    <s v="De la Vileta"/>
    <s v="La Vileta"/>
    <m/>
    <s v="Relicta Bartholomei de La Vileta condam"/>
    <s v="Nomine Petri eius filii"/>
    <s v="F"/>
    <n v="1343"/>
    <x v="3"/>
    <n v="19"/>
    <s v="Raynaud de Fay"/>
    <s v="Homo-licgius, justitabilis et expletabilis"/>
    <m/>
    <s v="Non"/>
    <s v="Oui"/>
    <s v="Oui"/>
    <s v="Oui"/>
    <s v="Non"/>
    <s v="Avec bœufs"/>
    <m/>
    <s v="Non"/>
    <n v="1"/>
    <n v="1"/>
    <s v="Non"/>
    <s v="Non"/>
    <s v="Non"/>
    <s v="Non"/>
    <s v="Non"/>
    <n v="1"/>
    <s v="Non"/>
    <s v="Non"/>
    <s v="Non"/>
    <s v="Non"/>
    <s v="Non"/>
    <s v="Non"/>
    <s v="Non"/>
    <s v="Non"/>
    <s v="Non"/>
    <s v="Non"/>
    <n v="5"/>
    <s v="Non"/>
    <s v="Non"/>
    <s v="Non"/>
    <s v="Non"/>
    <s v="Non"/>
    <s v="Non"/>
    <s v="Non"/>
    <s v="Non"/>
    <s v="Non"/>
    <s v="Non"/>
    <s v="Non"/>
    <s v="Non"/>
    <s v="Non"/>
    <s v="Non"/>
    <s v="Non"/>
    <s v="Non"/>
    <s v="Non"/>
    <s v="Non"/>
    <s v="Non"/>
    <s v="Non"/>
    <s v="Non"/>
    <s v="Non"/>
    <m/>
    <s v="Casale + ortum + 5 petiam + pratum + possessiones"/>
    <s v="Territorio de la Vileta"/>
    <s v="Fils"/>
    <s v="Devesset"/>
    <n v="0.16666666666666666"/>
    <n v="0"/>
    <n v="0"/>
    <n v="0"/>
    <n v="0"/>
    <n v="0"/>
    <n v="1"/>
    <n v="0"/>
    <n v="0"/>
    <n v="0"/>
    <n v="0"/>
    <n v="4.875"/>
    <n v="0"/>
    <n v="0"/>
    <n v="0.5"/>
    <n v="0"/>
    <n v="0"/>
    <n v="0"/>
    <n v="0"/>
    <n v="0"/>
    <n v="2.4375"/>
    <n v="0"/>
    <n v="0"/>
    <n v="0"/>
    <n v="0"/>
    <n v="0"/>
    <s v="Pratum + casale"/>
    <n v="1"/>
    <n v="0"/>
    <n v="0"/>
    <n v="0"/>
    <n v="1"/>
    <n v="0"/>
    <s v="Censu et talha + pratum"/>
    <s v="Toussaint"/>
    <s v="Mero et mixto imperio"/>
    <s v="In mandamento et de mendamento juridictione castri Devesseti"/>
    <s v="Devesset, in turre supra portam"/>
    <s v="Girandus Girandi de Pulinaco"/>
    <s v="Peireto de Montabonel"/>
    <s v="Michaele de Las Fontetas"/>
    <m/>
    <m/>
    <m/>
    <m/>
  </r>
  <r>
    <n v="1872"/>
    <m/>
    <s v="Martinus"/>
    <s v="De La Vileta"/>
    <s v="La Vileta"/>
    <m/>
    <m/>
    <m/>
    <s v="H"/>
    <n v="1346"/>
    <x v="4"/>
    <n v="29"/>
    <s v="Raynaud de Fay"/>
    <s v="Homo-licgius"/>
    <s v="Talhabilis ad omnimodas voluntatis"/>
    <s v="Non"/>
    <s v="Oui"/>
    <s v="Non"/>
    <s v="Oui"/>
    <s v="Non"/>
    <m/>
    <m/>
    <s v="Non"/>
    <s v="Non"/>
    <n v="1"/>
    <s v="Non"/>
    <s v="Non"/>
    <s v="Non"/>
    <s v="Non"/>
    <n v="1"/>
    <s v="Non"/>
    <s v="Non"/>
    <s v="Non"/>
    <s v="Non"/>
    <s v="Non"/>
    <s v="Non"/>
    <s v="Non"/>
    <s v="Non"/>
    <s v="Non"/>
    <s v="Non"/>
    <s v="Non"/>
    <s v="Non"/>
    <s v="Non"/>
    <s v="Non"/>
    <s v="Non"/>
    <s v="Non"/>
    <s v="Non"/>
    <s v="Non"/>
    <s v="Non"/>
    <s v="Non"/>
    <s v="Non"/>
    <s v="Non"/>
    <s v="Non"/>
    <s v="Non"/>
    <s v="Non"/>
    <s v="Non"/>
    <s v="Non"/>
    <s v="Non"/>
    <s v="Non"/>
    <s v="Non"/>
    <s v="Non"/>
    <s v="Non"/>
    <s v="Non"/>
    <s v="Non"/>
    <m/>
    <s v="Terram + pratum"/>
    <m/>
    <m/>
    <s v="Devesset"/>
    <n v="0"/>
    <n v="0"/>
    <n v="0"/>
    <n v="0"/>
    <n v="0"/>
    <n v="0"/>
    <n v="0"/>
    <n v="1"/>
    <n v="0"/>
    <n v="0"/>
    <n v="0"/>
    <n v="2.4375"/>
    <n v="0"/>
    <n v="0"/>
    <n v="0"/>
    <n v="0.5"/>
    <n v="0"/>
    <n v="0"/>
    <n v="0"/>
    <n v="0"/>
    <n v="1.21875"/>
    <n v="0"/>
    <n v="0"/>
    <n v="0"/>
    <n v="0"/>
    <n v="0"/>
    <m/>
    <n v="0.33333333333333331"/>
    <n v="0"/>
    <n v="0"/>
    <n v="0"/>
    <n v="0.33333333333333331"/>
    <n v="0"/>
    <m/>
    <s v="Toussaint"/>
    <m/>
    <m/>
    <s v="Devesset, subtus estram"/>
    <s v="Girandus Girandi de Pulinaco"/>
    <s v="Armando de Pitanderiis"/>
    <s v="Stephano Filio Durandi de Croseto"/>
    <s v="Johanne Massardi"/>
    <m/>
    <m/>
    <m/>
  </r>
  <r>
    <n v="601"/>
    <m/>
    <s v="Dompninus"/>
    <s v="De Las Ruschas"/>
    <s v="Las Ruschas"/>
    <m/>
    <m/>
    <m/>
    <s v="H"/>
    <n v="1343"/>
    <x v="0"/>
    <n v="29"/>
    <s v="Raynaud de Fay"/>
    <s v="Homo-licgius, justitabilis et expletabilis"/>
    <s v="Talhabilis ad omnimodas voluntatis"/>
    <s v="Non"/>
    <s v="Oui"/>
    <s v="Oui"/>
    <s v="Oui"/>
    <s v="Non"/>
    <m/>
    <s v="Contractus emphiteotitarii"/>
    <s v="Oui"/>
    <s v="Non"/>
    <s v="Non"/>
    <s v="Non"/>
    <s v="Non"/>
    <s v="Non"/>
    <s v="Oui"/>
    <s v="Non"/>
    <s v="Non"/>
    <s v="Non"/>
    <s v="Non"/>
    <s v="Non"/>
    <s v="Non"/>
    <s v="Non"/>
    <s v="Non"/>
    <s v="Non"/>
    <s v="Non"/>
    <s v="Non"/>
    <s v="Non"/>
    <n v="3"/>
    <s v="Non"/>
    <s v="Non"/>
    <s v="Non"/>
    <s v="Non"/>
    <s v="Non"/>
    <s v="Non"/>
    <s v="Non"/>
    <s v="Non"/>
    <s v="Non"/>
    <s v="Non"/>
    <s v="Non"/>
    <s v="Non"/>
    <s v="Non"/>
    <s v="Non"/>
    <s v="Non"/>
    <s v="Non"/>
    <s v="Non"/>
    <s v="Non"/>
    <s v="Non"/>
    <s v="Non"/>
    <s v="Non"/>
    <s v="Oui"/>
    <m/>
    <s v="3 Petia + Pasturale"/>
    <s v="Territorio de Lasruschas"/>
    <m/>
    <s v="Borzeza"/>
    <n v="0.33333333333333331"/>
    <n v="0"/>
    <n v="0"/>
    <n v="0"/>
    <n v="0"/>
    <n v="0"/>
    <n v="3.3333333333333335"/>
    <n v="0"/>
    <n v="2"/>
    <n v="0"/>
    <n v="0"/>
    <n v="35.75"/>
    <n v="0"/>
    <n v="0"/>
    <n v="0"/>
    <n v="0"/>
    <n v="1"/>
    <n v="0"/>
    <n v="0"/>
    <n v="0"/>
    <n v="9.75"/>
    <n v="0"/>
    <n v="0"/>
    <n v="0"/>
    <n v="0"/>
    <n v="0"/>
    <s v="3 Petia + Pasturale"/>
    <n v="3.666666666666667"/>
    <n v="0"/>
    <n v="0"/>
    <n v="0"/>
    <n v="3.666666666666667"/>
    <n v="0"/>
    <s v="Sua heredidate"/>
    <s v="Toussaint"/>
    <m/>
    <m/>
    <s v="Devesset, in turre supra portam"/>
    <s v="Girandus Girandi de Pulinaco"/>
    <s v="Michaele Girardi de Masalibrant"/>
    <s v="Petro Girardi de Masalibrant"/>
    <m/>
    <m/>
    <m/>
    <m/>
  </r>
  <r>
    <n v="611"/>
    <m/>
    <s v="Petrus"/>
    <s v="De Las Ruschas"/>
    <s v="Las Ruschas"/>
    <m/>
    <m/>
    <s v="Petronille eius uxoris"/>
    <s v="H"/>
    <n v="1343"/>
    <x v="0"/>
    <n v="29"/>
    <s v="Raynaud de Fay"/>
    <s v="Homo-licgius, justitabilis et expletabilis"/>
    <s v="Talhabilis ad omnimodas voluntatis"/>
    <s v="Non"/>
    <s v="Oui"/>
    <s v="Oui"/>
    <s v="Oui"/>
    <s v="Non"/>
    <s v="Avec bœufs et animaux"/>
    <s v="Contractus emphiteotitarii"/>
    <n v="1"/>
    <s v="Oui"/>
    <s v="Oui"/>
    <s v="Oui"/>
    <s v="Non"/>
    <s v="Oui"/>
    <s v="Non"/>
    <s v="Oui"/>
    <s v="Non"/>
    <s v="Non"/>
    <s v="Non"/>
    <s v="Non"/>
    <s v="Non"/>
    <s v="Non"/>
    <s v="Non"/>
    <s v="Non"/>
    <s v="Non"/>
    <s v="Non"/>
    <s v="Non"/>
    <s v="Non"/>
    <s v="Non"/>
    <s v="Non"/>
    <s v="Non"/>
    <s v="Non"/>
    <s v="Non"/>
    <s v="Non"/>
    <s v="Non"/>
    <s v="Non"/>
    <s v="Non"/>
    <s v="Non"/>
    <s v="Non"/>
    <s v="Non"/>
    <s v="Non"/>
    <s v="Non"/>
    <s v="Non"/>
    <s v="Non"/>
    <s v="Non"/>
    <s v="Non"/>
    <s v="Non"/>
    <s v="Non"/>
    <s v="Non"/>
    <s v="Oui"/>
    <m/>
    <m/>
    <s v="Loco et territorio de Las Ruschas"/>
    <s v="Femme"/>
    <s v="Borzeza"/>
    <n v="0.16666666666666666"/>
    <n v="0"/>
    <n v="0"/>
    <n v="0"/>
    <n v="0"/>
    <n v="0"/>
    <n v="7.666666666666667"/>
    <n v="0"/>
    <n v="0"/>
    <n v="0"/>
    <n v="0"/>
    <n v="37.375"/>
    <n v="0"/>
    <n v="0"/>
    <n v="2.5"/>
    <n v="0"/>
    <n v="0"/>
    <n v="0"/>
    <n v="0"/>
    <n v="0"/>
    <n v="12.1875"/>
    <n v="0"/>
    <n v="0"/>
    <n v="0"/>
    <n v="0"/>
    <n v="0"/>
    <m/>
    <n v="6"/>
    <n v="-1"/>
    <n v="0"/>
    <n v="0"/>
    <n v="5.958333333333333"/>
    <n v="0"/>
    <s v="Pro hiis que hec et tenit in loco de Lasruschas"/>
    <s v="Toussaint"/>
    <m/>
    <s v="De senhoria domino et juridictione castri Devesseti"/>
    <s v="Devesset, in turre supra portam"/>
    <s v="Girandus Girandi de Pulinaco"/>
    <s v="Petro de Casalibus"/>
    <s v="Matheo Morelli Ruppe Paula"/>
    <s v="Petro Porronis"/>
    <m/>
    <m/>
    <s v="In quadam compositione olim facta inter dominum aniciensis episcopum et domum Devesseti"/>
  </r>
  <r>
    <n v="621"/>
    <m/>
    <s v="Valentinus"/>
    <s v="De Las Ruschas"/>
    <s v="Las Ruschas"/>
    <m/>
    <m/>
    <m/>
    <s v="H"/>
    <n v="1343"/>
    <x v="0"/>
    <n v="29"/>
    <s v="Raynaud de Fay"/>
    <s v="Homo-licgius, justitabilis et expletabilis"/>
    <s v="Talhabilis ad omnimodas voluntatis"/>
    <s v="Non"/>
    <s v="Oui"/>
    <s v="Oui"/>
    <s v="Oui"/>
    <s v="Non"/>
    <s v="Avec bœufs et animaux"/>
    <s v="Contractus emphiteotitarii"/>
    <n v="1"/>
    <s v="Non"/>
    <s v="Oui"/>
    <s v="Non"/>
    <s v="Non"/>
    <s v="Non"/>
    <s v="Non"/>
    <s v="Oui"/>
    <s v="Non"/>
    <s v="Non"/>
    <s v="Non"/>
    <s v="Non"/>
    <s v="Non"/>
    <s v="Non"/>
    <s v="Non"/>
    <s v="Non"/>
    <s v="Non"/>
    <s v="Non"/>
    <s v="Non"/>
    <s v="Non"/>
    <s v="Non"/>
    <s v="Non"/>
    <s v="Non"/>
    <s v="Non"/>
    <s v="Non"/>
    <s v="Non"/>
    <s v="Non"/>
    <s v="Non"/>
    <s v="Non"/>
    <s v="Non"/>
    <s v="Non"/>
    <s v="Non"/>
    <s v="Non"/>
    <s v="Non"/>
    <s v="Non"/>
    <s v="Non"/>
    <s v="Non"/>
    <s v="Non"/>
    <s v="Non"/>
    <s v="Non"/>
    <s v="Non"/>
    <s v="Oui"/>
    <m/>
    <m/>
    <s v="Loco et territorio de Las Ruschas"/>
    <m/>
    <s v="Devesset"/>
    <n v="0.16666666666666666"/>
    <n v="0"/>
    <n v="0"/>
    <n v="0"/>
    <n v="0"/>
    <n v="0"/>
    <n v="1.6428571428571428"/>
    <n v="0"/>
    <n v="0"/>
    <n v="0"/>
    <n v="0"/>
    <n v="8.0089285714285712"/>
    <n v="0"/>
    <n v="0"/>
    <n v="1"/>
    <n v="0"/>
    <n v="0"/>
    <n v="0"/>
    <n v="0"/>
    <n v="0"/>
    <n v="4.875"/>
    <n v="0"/>
    <n v="0"/>
    <n v="0"/>
    <n v="0"/>
    <n v="0"/>
    <m/>
    <n v="1.6666666666666667"/>
    <n v="0"/>
    <n v="0"/>
    <n v="0"/>
    <n v="1.6666666666666667"/>
    <n v="0"/>
    <m/>
    <s v="Toussaint"/>
    <m/>
    <s v="De juridictione et dominatione castri seu domus Devesseti"/>
    <s v="Devesset, in turre supra portam"/>
    <s v="Girandus Girandi de Pulinaco"/>
    <s v="Petro de Casalibus"/>
    <s v="Matheo Morelli Ruppe Paula"/>
    <s v="Petro Porronis"/>
    <m/>
    <m/>
    <s v="In quadam compositione olim facta inter dominum aniciensis episcopum et domum Devesseti"/>
  </r>
  <r>
    <n v="651"/>
    <m/>
    <s v="Johannis"/>
    <s v="De Las Ruschas"/>
    <s v="Las Ruschas"/>
    <m/>
    <s v="Filius Johanis de Lasruschas condam"/>
    <s v="Pro suis sororibus et fratribus"/>
    <s v="H"/>
    <n v="1343"/>
    <x v="0"/>
    <n v="29"/>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Prato et petia"/>
    <s v="Loco et territorio de Las Ruschas"/>
    <s v="Frères et sœurs"/>
    <s v="Tence et Devesset"/>
    <n v="0.16666666666666666"/>
    <n v="0"/>
    <n v="0"/>
    <n v="0"/>
    <n v="0"/>
    <n v="0"/>
    <n v="2.583333333333333"/>
    <n v="0"/>
    <n v="0"/>
    <n v="0"/>
    <n v="0"/>
    <n v="12.593749999999998"/>
    <n v="0"/>
    <n v="0"/>
    <n v="0"/>
    <n v="0"/>
    <n v="0"/>
    <n v="0"/>
    <n v="0"/>
    <n v="0"/>
    <n v="0"/>
    <n v="0"/>
    <n v="0"/>
    <n v="0"/>
    <n v="0"/>
    <n v="0"/>
    <s v="Prato et petia + prato + nomine eius fratre"/>
    <n v="1.9166666666666667"/>
    <n v="0"/>
    <n v="0"/>
    <n v="0"/>
    <n v="1.9166666666666667"/>
    <n v="0"/>
    <m/>
    <s v="Toussaint"/>
    <s v="De juridictine et senhoria"/>
    <s v="Castri Devesseti"/>
    <s v="Devesset, in turre supra portam"/>
    <s v="Girandus Girandi de Pulinaco"/>
    <s v="Petro de Casalibus"/>
    <s v="Matheo Morelli Ruppe Paula"/>
    <s v="Petro Porronis"/>
    <m/>
    <m/>
    <s v="In quadam compositione olim facta inter dominum aniciensis episcopum et domum Devesseti"/>
  </r>
  <r>
    <n v="661"/>
    <m/>
    <s v="Michael"/>
    <s v="De Las Ruschas"/>
    <s v="Las Ruschas"/>
    <m/>
    <m/>
    <m/>
    <s v="H"/>
    <n v="1343"/>
    <x v="0"/>
    <n v="29"/>
    <s v="Raynaud de Fay"/>
    <s v="Homo-licgius, justitabilis et expletabilis"/>
    <s v="Talhabilis ad omnimodas voluntatis"/>
    <s v="Non"/>
    <s v="Oui"/>
    <s v="Oui"/>
    <s v="Oui"/>
    <s v="Non"/>
    <s v="Avec bœufs et animaux"/>
    <s v="Contractus emphiteotitarii"/>
    <s v="Oui"/>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os"/>
    <s v="Loco et territorio de Las Ruschas"/>
    <s v="Femme"/>
    <s v="Tence et Devesset ou Borzeza"/>
    <n v="0.30952380952380953"/>
    <n v="0"/>
    <n v="0"/>
    <n v="0"/>
    <n v="0"/>
    <n v="0"/>
    <n v="6.583333333333333"/>
    <n v="0"/>
    <n v="0"/>
    <n v="0"/>
    <n v="0"/>
    <n v="32.09375"/>
    <n v="0"/>
    <n v="0"/>
    <n v="2.5"/>
    <n v="1"/>
    <n v="0"/>
    <n v="0"/>
    <n v="0"/>
    <n v="0"/>
    <n v="14.625"/>
    <n v="0"/>
    <n v="0"/>
    <n v="0"/>
    <n v="0"/>
    <n v="0"/>
    <s v="Possessiones quas tenet nomine uxoris sue in loco et territorio de Masalibrant"/>
    <n v="6.0833333333333339"/>
    <n v="0"/>
    <n v="0"/>
    <n v="0"/>
    <n v="6.0833333333333339"/>
    <n v="0"/>
    <m/>
    <s v="Toussaint"/>
    <m/>
    <s v="De juridictione castri Devesseti"/>
    <s v="Devesset, in turre supra portam"/>
    <s v="Girandus Girandi de Pulinaco"/>
    <s v="Petro de Casalibus"/>
    <s v="Matheo Morelli Ruppe Paula"/>
    <s v="Petro Porronis"/>
    <m/>
    <m/>
    <s v="In quadam compositione olim facta inter dominum aniciensis episcopum et domum Devesseti"/>
  </r>
  <r>
    <n v="1031"/>
    <s v="Et 1041"/>
    <s v="Johannes"/>
    <s v="De Malagayta"/>
    <s v="Malagayta"/>
    <m/>
    <s v="Filius Nicholaii de Malagayta condam"/>
    <m/>
    <s v="H"/>
    <n v="1343"/>
    <x v="6"/>
    <n v="13"/>
    <s v="Raynaud de Fay"/>
    <s v="Homo-licgius, justitabilis et expletabilis"/>
    <s v="Talhabilis ad omnimodas voluntatis"/>
    <s v="Non"/>
    <s v="Oui"/>
    <s v="Oui"/>
    <s v="Oui"/>
    <s v="Non"/>
    <s v="Avec bœufs et animaux"/>
    <s v="Contractus emphiteotitarii"/>
    <s v="Oui"/>
    <s v="Oui"/>
    <s v="Oui"/>
    <s v="Non"/>
    <n v="1"/>
    <s v="Non"/>
    <s v="Non"/>
    <s v="Oui"/>
    <s v="Non"/>
    <s v="Non"/>
    <s v="Non"/>
    <s v="Non"/>
    <s v="Non"/>
    <s v="Non"/>
    <s v="Non"/>
    <s v="Non"/>
    <s v="Non"/>
    <s v="Non"/>
    <s v="Non"/>
    <s v="Non"/>
    <s v="Non"/>
    <s v="Non"/>
    <s v="Non"/>
    <s v="Non"/>
    <s v="Non"/>
    <s v="Non"/>
    <s v="Non"/>
    <s v="Non"/>
    <s v="Non"/>
    <s v="Non"/>
    <s v="Non"/>
    <s v="Non"/>
    <s v="Non"/>
    <s v="Non"/>
    <s v="Non"/>
    <s v="Non"/>
    <s v="Non"/>
    <s v="Non"/>
    <s v="Non"/>
    <s v="Non"/>
    <s v="Non"/>
    <s v="Oui"/>
    <m/>
    <s v="Domos + ortos + possessiones + pratis + pasturalibus + terra + petie terra"/>
    <s v="Loco et territorio de Malagayta"/>
    <m/>
    <s v="Fay"/>
    <n v="1"/>
    <n v="0"/>
    <n v="0"/>
    <n v="0"/>
    <n v="0"/>
    <n v="0"/>
    <n v="2"/>
    <n v="1"/>
    <n v="0"/>
    <n v="0"/>
    <n v="0"/>
    <n v="12.1875"/>
    <n v="0"/>
    <n v="0"/>
    <n v="0"/>
    <n v="4"/>
    <n v="0"/>
    <n v="0"/>
    <n v="0"/>
    <n v="0"/>
    <n v="9.75"/>
    <n v="0"/>
    <n v="0"/>
    <n v="0"/>
    <n v="0"/>
    <n v="0"/>
    <s v="Pratis et pasturallibus + terra + petie terra"/>
    <n v="6.25"/>
    <n v="0"/>
    <n v="0"/>
    <n v="0"/>
    <n v="6.25"/>
    <n v="0"/>
    <m/>
    <s v="Toussaint"/>
    <s v="De juridictione et senhoria"/>
    <s v="Castri Devesseti"/>
    <s v="Devesset, in turre supra portam"/>
    <s v="Girandus Girandi de Pulinaco"/>
    <s v="Eustachio de Quinteato domicelli"/>
    <s v="Guillermo filio Johannis de Crosto"/>
    <s v="Mattheo Matinerii"/>
    <m/>
    <m/>
    <s v="in compositione olim facta inter domum Devesseti et domini catri Fayni condam"/>
  </r>
  <r>
    <n v="1051"/>
    <m/>
    <s v="Johannes"/>
    <s v="De Malagayta"/>
    <s v="Malagayta"/>
    <m/>
    <s v="Filius Stephani de Malagayta"/>
    <s v="Et fratres sui"/>
    <s v="H"/>
    <n v="1343"/>
    <x v="6"/>
    <n v="13"/>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um"/>
    <s v="Loco et territorio et pertinentiis loci de Malagayta"/>
    <m/>
    <s v="Fay"/>
    <n v="1"/>
    <n v="0"/>
    <n v="0"/>
    <n v="0"/>
    <n v="0"/>
    <n v="0"/>
    <n v="0.5"/>
    <n v="3"/>
    <n v="1"/>
    <n v="0"/>
    <n v="0"/>
    <n v="19.5"/>
    <n v="0"/>
    <n v="0"/>
    <n v="0"/>
    <n v="6"/>
    <n v="0"/>
    <n v="0"/>
    <n v="0"/>
    <n v="0"/>
    <n v="14.625"/>
    <n v="0"/>
    <n v="0"/>
    <n v="0"/>
    <n v="0"/>
    <n v="0"/>
    <m/>
    <n v="8.5833333333333339"/>
    <n v="0"/>
    <n v="0"/>
    <n v="0"/>
    <n v="8.5833333333333339"/>
    <n v="0"/>
    <m/>
    <s v="Toussaint"/>
    <s v="De juridictione et senhoria"/>
    <s v="Domus seu castri Devesseti"/>
    <s v="Devesset, in turre supra portam"/>
    <s v="Girandus Girandi de Pulinaco"/>
    <s v="Eustachio de Quinteato domicelli"/>
    <s v="Guillermo filio Johannis de Crosto"/>
    <s v="Mattheo Matinerii"/>
    <m/>
    <m/>
    <s v="in compositione olim facta inter domum Devesseti et domini catri Fayni condam"/>
  </r>
  <r>
    <n v="1061"/>
    <m/>
    <s v="Vitalis"/>
    <s v="De Malagayta"/>
    <s v="Malagayta"/>
    <m/>
    <m/>
    <s v="Pro ac nomine Blanchie eius uxoris"/>
    <s v="H"/>
    <n v="1343"/>
    <x v="6"/>
    <n v="13"/>
    <s v="Raynaud de Fay"/>
    <s v="Homo-licgius, justitabilis et expletabilis"/>
    <s v="Talhabilis ad omnimodas voluntatis"/>
    <s v="Non"/>
    <s v="Oui"/>
    <s v="Oui"/>
    <s v="Oui"/>
    <s v="Non"/>
    <s v="Avec bœufs et animaux"/>
    <s v="Contractus emphiteotitarii"/>
    <n v="1"/>
    <m/>
    <s v="Oui"/>
    <s v="Non"/>
    <n v="1"/>
    <s v="Non"/>
    <s v="Non"/>
    <s v="Oui"/>
    <s v="Non"/>
    <s v="Non"/>
    <s v="Non"/>
    <s v="Non"/>
    <s v="Non"/>
    <s v="Non"/>
    <s v="Non"/>
    <s v="Non"/>
    <s v="Non"/>
    <s v="Non"/>
    <s v="Non"/>
    <s v="Non"/>
    <s v="Non"/>
    <s v="Non"/>
    <s v="Non"/>
    <s v="Non"/>
    <s v="Non"/>
    <s v="Non"/>
    <s v="Non"/>
    <s v="Non"/>
    <s v="Non"/>
    <s v="Non"/>
    <s v="Non"/>
    <s v="Non"/>
    <s v="Non"/>
    <s v="Non"/>
    <s v="Non"/>
    <s v="Non"/>
    <s v="Non"/>
    <s v="Non"/>
    <s v="Non"/>
    <s v="Non"/>
    <s v="Non"/>
    <s v="Oui"/>
    <m/>
    <s v="Domum"/>
    <s v="Loco et territorio de Malagayta"/>
    <s v="Femme"/>
    <s v="Fay"/>
    <n v="1"/>
    <n v="0"/>
    <n v="0"/>
    <n v="0"/>
    <n v="0"/>
    <n v="0"/>
    <n v="0.5"/>
    <n v="0.5"/>
    <n v="0"/>
    <n v="0"/>
    <n v="0"/>
    <n v="3.65625"/>
    <n v="0"/>
    <n v="0"/>
    <n v="0"/>
    <n v="0"/>
    <n v="0"/>
    <n v="0"/>
    <n v="0"/>
    <n v="0"/>
    <n v="0"/>
    <n v="0"/>
    <n v="0"/>
    <n v="0"/>
    <n v="0"/>
    <n v="0"/>
    <m/>
    <n v="1.9166666666666667"/>
    <n v="0"/>
    <n v="0"/>
    <n v="0"/>
    <n v="1.9166666666666667"/>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71"/>
    <m/>
    <s v="Clemens"/>
    <s v="De Malagayta"/>
    <s v="Malagayta"/>
    <m/>
    <m/>
    <s v="Nomine Viricencii de Malagayta"/>
    <s v="H"/>
    <n v="1343"/>
    <x v="6"/>
    <n v="13"/>
    <s v="Raynaud de Fay"/>
    <s v="Homo-licgius, justitabilis et expletabilis"/>
    <s v="Talhabilis ad omnimodas voluntatis"/>
    <s v="Non"/>
    <s v="Oui"/>
    <s v="Oui"/>
    <s v="Oui"/>
    <s v="Non"/>
    <s v="Avec bœufs et animaux"/>
    <s v="Contractus emphiteotitarii"/>
    <s v="Oui"/>
    <s v="Oui"/>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os + 2 terra + sanha"/>
    <s v="Loco et territorio de Malagayta"/>
    <s v="Quelqu'un"/>
    <s v="Fay"/>
    <n v="1"/>
    <n v="0"/>
    <n v="0"/>
    <n v="0"/>
    <n v="0"/>
    <n v="0"/>
    <n v="6.5"/>
    <n v="0"/>
    <n v="0"/>
    <n v="0"/>
    <n v="0"/>
    <n v="31.6875"/>
    <n v="0"/>
    <n v="0"/>
    <n v="3.5"/>
    <n v="1"/>
    <n v="0"/>
    <n v="0"/>
    <n v="0"/>
    <n v="0"/>
    <n v="19.5"/>
    <n v="0"/>
    <n v="0"/>
    <n v="0"/>
    <n v="0"/>
    <n v="0"/>
    <s v="Terris + pratis et pasturalibus + 2 terra + sanha"/>
    <n v="18.75"/>
    <n v="0"/>
    <n v="0"/>
    <n v="0"/>
    <n v="18.75"/>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081"/>
    <m/>
    <s v="Johannes"/>
    <s v="De Malagayta"/>
    <s v="Malagayta"/>
    <m/>
    <s v="Filius Bartholomei de Malagayta"/>
    <s v="Pro Poncio et Guillermo eius amiculis"/>
    <s v="H"/>
    <n v="1343"/>
    <x v="6"/>
    <n v="13"/>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s v="Costat in notarii de tribus ut infra et deibus octo et oboli in duobus locis ita est"/>
    <s v="Domum"/>
    <s v="Loco et territorio de Malagayta et de Mas Feriol et de Daldega"/>
    <s v="Amiculis"/>
    <s v="Fay"/>
    <n v="1"/>
    <n v="0"/>
    <n v="0"/>
    <n v="0"/>
    <n v="0"/>
    <n v="0"/>
    <n v="3"/>
    <n v="1.3333333333333333"/>
    <n v="0"/>
    <n v="0"/>
    <n v="0"/>
    <n v="17.875"/>
    <n v="0"/>
    <n v="0"/>
    <n v="1"/>
    <n v="1.3333333333333333"/>
    <n v="0"/>
    <n v="0"/>
    <n v="0"/>
    <n v="0"/>
    <n v="8.125"/>
    <n v="0"/>
    <n v="0"/>
    <n v="0"/>
    <n v="0"/>
    <n v="0"/>
    <s v="Terris + pratis et pasturalibus"/>
    <n v="9.6666666666666661"/>
    <n v="1.3333333333333333"/>
    <n v="0"/>
    <n v="0"/>
    <n v="9.7222222222222214"/>
    <n v="0"/>
    <s v="Pratis et possessionibus"/>
    <s v="Toussaint"/>
    <m/>
    <m/>
    <s v="Devesset, in turre supra portam"/>
    <s v="Girandus Girandi de Pulinaco"/>
    <s v="Eustachio de Quinteato domicelli"/>
    <s v="Guillermo filio Johannis de Crosto"/>
    <s v="Mattheo Matinerii"/>
    <m/>
    <m/>
    <m/>
  </r>
  <r>
    <n v="1091"/>
    <m/>
    <s v="Petrus"/>
    <s v="De Malagayta"/>
    <s v="Malagayta"/>
    <m/>
    <s v="Filius Guillermi de Malagayta condam"/>
    <s v="Pro Petro eius fratre"/>
    <s v="H"/>
    <n v="1343"/>
    <x v="6"/>
    <n v="13"/>
    <s v="Raynaud de Fay"/>
    <s v="Homo-licgius, justitabilis et expletabilis"/>
    <s v="Talhabilis ad omnimodas voluntatis"/>
    <s v="Non"/>
    <s v="Oui"/>
    <s v="Oui"/>
    <s v="Oui"/>
    <s v="Non"/>
    <s v="Avec bœufs et animaux"/>
    <m/>
    <s v="Oui"/>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os"/>
    <s v="Loco et territorio de Malagayta et de Manso Feriol et de Dailhdega"/>
    <s v="Frère"/>
    <s v="Fay"/>
    <n v="1"/>
    <n v="0"/>
    <n v="0"/>
    <n v="0"/>
    <n v="0"/>
    <n v="0"/>
    <n v="3"/>
    <n v="1.3333333333333333"/>
    <n v="0"/>
    <n v="0"/>
    <n v="0"/>
    <n v="17.875"/>
    <n v="0"/>
    <n v="0"/>
    <n v="1"/>
    <n v="1.3333333333333333"/>
    <n v="0"/>
    <n v="0"/>
    <n v="0"/>
    <n v="0"/>
    <n v="8.125"/>
    <n v="0"/>
    <n v="0"/>
    <n v="0"/>
    <n v="0"/>
    <n v="0"/>
    <s v="Pratis"/>
    <n v="9.6666666666666661"/>
    <n v="1.3333333333333333"/>
    <n v="0"/>
    <n v="0"/>
    <n v="9.7222222222222214"/>
    <n v="0"/>
    <s v="Pratis"/>
    <s v="Toussaint"/>
    <m/>
    <m/>
    <s v="Devesset, in turre supra portam"/>
    <s v="Girandus Girandi de Pulinaco"/>
    <s v="Eustachio de Quinteato domicelli"/>
    <s v="Guillermo filio Johannis de Crosto"/>
    <s v="Mattheo Matinerii"/>
    <m/>
    <m/>
    <m/>
  </r>
  <r>
    <n v="1101"/>
    <m/>
    <s v="Guillermus"/>
    <s v="De Malagayta"/>
    <s v="Malagayta"/>
    <m/>
    <s v="Filius Johannis de Malagayta"/>
    <m/>
    <s v="H"/>
    <n v="1343"/>
    <x v="6"/>
    <n v="13"/>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n v="1"/>
    <s v="Non"/>
    <s v="Non"/>
    <s v="Non"/>
    <s v="Non"/>
    <s v="Non"/>
    <s v="Non"/>
    <s v="Non"/>
    <s v="Non"/>
    <s v="Non"/>
    <s v="Non"/>
    <s v="Non"/>
    <s v="Non"/>
    <s v="Non"/>
    <s v="Non"/>
    <s v="Non"/>
    <s v="Non"/>
    <s v="Non"/>
    <s v="Oui"/>
    <m/>
    <s v="Domum + sana"/>
    <s v="Loco et territorio de Malagayta et in locus et pertinentiis de Mas Feriol et de Dalhdega"/>
    <m/>
    <s v="Pas de mesure de céréale"/>
    <n v="1"/>
    <n v="0"/>
    <n v="0"/>
    <n v="0"/>
    <n v="0"/>
    <n v="0"/>
    <n v="3"/>
    <n v="1.3333333333333333"/>
    <n v="0"/>
    <n v="0"/>
    <n v="0"/>
    <n v="17.875"/>
    <n v="0"/>
    <n v="0"/>
    <n v="1"/>
    <n v="1.3333333333333333"/>
    <n v="0"/>
    <n v="0"/>
    <n v="0"/>
    <n v="0"/>
    <n v="8.125"/>
    <n v="0"/>
    <n v="0"/>
    <n v="0"/>
    <n v="0"/>
    <n v="0"/>
    <s v="Sana"/>
    <n v="10.166666666666666"/>
    <n v="1.3333333333333333"/>
    <n v="0"/>
    <n v="0"/>
    <n v="10.222222222222221"/>
    <n v="0"/>
    <m/>
    <s v="Toussaint"/>
    <s v="De juridictione"/>
    <s v="Castri Devesseti"/>
    <s v="Devesset, in turre supra portam"/>
    <s v="Girandus Girandi de Pulinaco"/>
    <s v="Eustachio de Quinteato domicelli"/>
    <s v="Guillermo filio Johannis de Crosto"/>
    <s v="Mattheo Matinerii"/>
    <m/>
    <m/>
    <s v="in compositione olim facta inter domum Devesseti et domini catri Fayni condam"/>
  </r>
  <r>
    <n v="1315"/>
    <m/>
    <s v="Johanos"/>
    <s v="De Molendino"/>
    <s v="Sancto Juliano in Boteria"/>
    <m/>
    <m/>
    <m/>
    <s v="H"/>
    <n v="1343"/>
    <x v="2"/>
    <n v="11"/>
    <s v="Raynaud de Fay"/>
    <s v="Promisit esse fidelis tenementarius domus Devesseti"/>
    <m/>
    <m/>
    <m/>
    <m/>
    <m/>
    <m/>
    <m/>
    <m/>
    <s v="Non"/>
    <s v="Non"/>
    <s v="Non"/>
    <s v="Non"/>
    <s v="Non"/>
    <s v="Non"/>
    <s v="Non"/>
    <s v="Non"/>
    <s v="Non"/>
    <s v="Non"/>
    <s v="Non"/>
    <s v="Non"/>
    <s v="Non"/>
    <s v="Non"/>
    <s v="Non"/>
    <s v="Non"/>
    <s v="Non"/>
    <s v="Non"/>
    <s v="Non"/>
    <s v="Non"/>
    <s v="Non"/>
    <s v="Non"/>
    <s v="Non"/>
    <s v="Non"/>
    <s v="Non"/>
    <s v="Non"/>
    <s v="Non"/>
    <n v="1"/>
    <s v="Non"/>
    <s v="Non"/>
    <s v="Non"/>
    <s v="Non"/>
    <s v="Non"/>
    <s v="Non"/>
    <s v="Non"/>
    <s v="Non"/>
    <s v="Non"/>
    <s v="Non"/>
    <s v="Non"/>
    <s v="Non"/>
    <s v="Non"/>
    <s v="Non"/>
    <m/>
    <s v="Vinea"/>
    <m/>
    <m/>
    <m/>
    <n v="0"/>
    <n v="0"/>
    <n v="0"/>
    <n v="0"/>
    <n v="0"/>
    <n v="0"/>
    <n v="0"/>
    <n v="0"/>
    <n v="0"/>
    <n v="0"/>
    <n v="0"/>
    <n v="0"/>
    <n v="0"/>
    <n v="0"/>
    <n v="0"/>
    <n v="0"/>
    <n v="0"/>
    <n v="0"/>
    <n v="0"/>
    <n v="0"/>
    <n v="0"/>
    <n v="0"/>
    <n v="0"/>
    <n v="0"/>
    <n v="0"/>
    <n v="0"/>
    <m/>
    <n v="0"/>
    <n v="1"/>
    <n v="0"/>
    <n v="0"/>
    <n v="4.1666666666666664E-2"/>
    <n v="0"/>
    <m/>
    <s v="Toussaint"/>
    <m/>
    <m/>
    <s v="Apud Sanctum Agripavium, in domo Broscherii"/>
    <s v="Girandus Girandi de Pulinaco"/>
    <s v="Poncio eius fratre"/>
    <m/>
    <m/>
    <m/>
    <m/>
    <m/>
  </r>
  <r>
    <n v="751"/>
    <s v="Marge illisible"/>
    <s v="Jacobus"/>
    <s v="De Molendino"/>
    <s v="Chanclausa"/>
    <m/>
    <s v="Filius Martini de Molendino de Chanclausa"/>
    <m/>
    <s v="H"/>
    <n v="1343"/>
    <x v="6"/>
    <n v="13"/>
    <s v="Raynaud de Fay"/>
    <s v="Promisit esse fidelis tenementarius domus Devesseti"/>
    <m/>
    <m/>
    <m/>
    <m/>
    <m/>
    <m/>
    <m/>
    <s v="Contractus emphiteotitarii"/>
    <s v="Non"/>
    <n v="1"/>
    <n v="2"/>
    <s v="Non"/>
    <s v="Non"/>
    <s v="Non"/>
    <n v="2"/>
    <s v="Oui"/>
    <s v="Non"/>
    <s v="Non"/>
    <s v="Non"/>
    <s v="Non"/>
    <s v="Non"/>
    <s v="Non"/>
    <s v="Non"/>
    <s v="Non"/>
    <s v="Non"/>
    <s v="Non"/>
    <s v="Non"/>
    <n v="3"/>
    <n v="1"/>
    <s v="Non"/>
    <s v="Non"/>
    <s v="Non"/>
    <s v="Non"/>
    <s v="Non"/>
    <s v="Non"/>
    <s v="Non"/>
    <s v="Non"/>
    <s v="Non"/>
    <s v="Non"/>
    <s v="Non"/>
    <s v="Non"/>
    <s v="Non"/>
    <s v="Non"/>
    <s v="Non"/>
    <s v="Non"/>
    <s v="Non"/>
    <s v="Non"/>
    <s v="Non"/>
    <s v="Non"/>
    <s v="Non"/>
    <m/>
    <s v="4 petia + 1 ortum + 2 pasturale 2 prata + 1 esclausam"/>
    <m/>
    <m/>
    <s v="Fay"/>
    <n v="0"/>
    <n v="0"/>
    <n v="1"/>
    <n v="9.75"/>
    <n v="0"/>
    <n v="0"/>
    <n v="0"/>
    <n v="0"/>
    <n v="1"/>
    <n v="0"/>
    <n v="0"/>
    <n v="9.75"/>
    <n v="0"/>
    <n v="0"/>
    <n v="0"/>
    <n v="0"/>
    <n v="1"/>
    <n v="0"/>
    <n v="0"/>
    <n v="0"/>
    <n v="9.75"/>
    <n v="0"/>
    <n v="0"/>
    <n v="0"/>
    <n v="0"/>
    <n v="0"/>
    <m/>
    <n v="0.5"/>
    <n v="0"/>
    <n v="0"/>
    <n v="0"/>
    <n v="0.5"/>
    <n v="0"/>
    <m/>
    <s v="Toussaint"/>
    <m/>
    <s v="De juridictione et dominatione senhorio castri Devesseti"/>
    <s v="Devesset, in turre supra portam"/>
    <s v="Girandus Girandi de Pulinaco"/>
    <s v="Fratre Johane Meruli"/>
    <s v="Eustachio de Quinteo clericus de Malagayta"/>
    <s v="Johane de Malagayta"/>
    <m/>
    <m/>
    <s v="In quadam compositione olim facta inter dominum aniciensis episcopum et domum Devesseti"/>
  </r>
  <r>
    <n v="1802"/>
    <m/>
    <s v="Peironetus"/>
    <s v="De Montreont"/>
    <s v="Montreont"/>
    <m/>
    <s v="Maritus Guigone filie Mathei de Hereone condam"/>
    <s v="Nemonie Guigone eius uxoris"/>
    <s v="H"/>
    <n v="1344"/>
    <x v="4"/>
    <n v="13"/>
    <s v="Raynaud de Fay"/>
    <s v="Promisit esse fidelis tenementarius domui Devesseti"/>
    <m/>
    <m/>
    <m/>
    <m/>
    <m/>
    <m/>
    <m/>
    <s v="Constractus emphiteotarii"/>
    <s v="Non"/>
    <s v="Non"/>
    <s v="Oui"/>
    <s v="Non"/>
    <s v="Non"/>
    <s v="Non"/>
    <s v="Non"/>
    <s v="Non"/>
    <s v="Non"/>
    <s v="Non"/>
    <s v="Non"/>
    <s v="Non"/>
    <s v="Non"/>
    <s v="Non"/>
    <s v="Non"/>
    <s v="Non"/>
    <s v="Non"/>
    <s v="Non"/>
    <s v="Non"/>
    <s v="Non"/>
    <s v="Non"/>
    <s v="Non"/>
    <s v="Non"/>
    <s v="Non"/>
    <n v="1"/>
    <s v="Non"/>
    <s v="Non"/>
    <s v="Non"/>
    <s v="Non"/>
    <s v="Non"/>
    <s v="Non"/>
    <s v="Non"/>
    <s v="Non"/>
    <s v="Non"/>
    <s v="Non"/>
    <s v="Non"/>
    <s v="Non"/>
    <s v="Non"/>
    <s v="Non"/>
    <s v="Non"/>
    <s v="Non"/>
    <s v="Non"/>
    <m/>
    <s v="Tenementum + pratis"/>
    <m/>
    <s v="Femme"/>
    <s v="Devesset"/>
    <n v="0"/>
    <n v="0"/>
    <n v="0"/>
    <n v="0"/>
    <n v="0"/>
    <n v="0"/>
    <n v="0"/>
    <n v="1"/>
    <n v="0"/>
    <n v="0"/>
    <n v="0"/>
    <n v="2.4375"/>
    <n v="0"/>
    <n v="0"/>
    <n v="0"/>
    <n v="1"/>
    <n v="0"/>
    <n v="0"/>
    <n v="0"/>
    <n v="0"/>
    <n v="2.4375"/>
    <n v="0"/>
    <n v="0"/>
    <n v="0"/>
    <n v="0"/>
    <n v="0"/>
    <s v="Tenementum + pratis"/>
    <n v="6"/>
    <n v="0"/>
    <n v="0"/>
    <n v="0"/>
    <n v="6"/>
    <n v="0"/>
    <m/>
    <s v="Toussaint"/>
    <s v="Mero et mixto imperio"/>
    <s v="De omnimoda juridictione castri Devesseti"/>
    <s v="Devesset, in turre supra portam"/>
    <s v="Girandus Girandi de Pulinaco"/>
    <s v="Petro Dulcis de Sancto Agrippano"/>
    <s v="Petro Del Tremole"/>
    <s v="Stephano Solherii de Hereone"/>
    <m/>
    <m/>
    <m/>
  </r>
  <r>
    <n v="451"/>
    <m/>
    <s v="Vitalis"/>
    <s v="De Mundo"/>
    <s v="Del Mundo Sancti Martini"/>
    <s v="Parrochie de Tensano"/>
    <m/>
    <m/>
    <s v="H"/>
    <n v="1343"/>
    <x v="0"/>
    <n v="9"/>
    <s v="Raynaud de Fay"/>
    <s v="Homo-licgius, justitabilis et expletabilis"/>
    <s v="Talhabilis ad omnimodas voluntatis"/>
    <s v="Non"/>
    <s v="Oui"/>
    <s v="Oui"/>
    <s v="Oui"/>
    <s v="Non"/>
    <s v="Avec bœufs et animaux"/>
    <s v="Contractus emphiteotitarii"/>
    <n v="1"/>
    <s v="Oui"/>
    <s v="Oui"/>
    <s v="Oui"/>
    <s v="Oui"/>
    <s v="Oui"/>
    <s v="Oui"/>
    <s v="Non"/>
    <s v="Oui"/>
    <s v="Non"/>
    <n v="1"/>
    <s v="Non"/>
    <s v="Non"/>
    <s v="Non"/>
    <s v="Non"/>
    <s v="Non"/>
    <s v="Non"/>
    <s v="Non"/>
    <s v="Non"/>
    <s v="Non"/>
    <s v="Non"/>
    <s v="Non"/>
    <s v="Non"/>
    <s v="Non"/>
    <s v="Non"/>
    <s v="Non"/>
    <s v="Non"/>
    <s v="Non"/>
    <s v="Non"/>
    <s v="Non"/>
    <s v="Non"/>
    <s v="Non"/>
    <s v="Non"/>
    <s v="Non"/>
    <s v="Non"/>
    <s v="Non"/>
    <s v="Non"/>
    <s v="Non"/>
    <s v="Non"/>
    <s v="Non"/>
    <s v="Non"/>
    <s v="Oui"/>
    <m/>
    <m/>
    <s v="Loco et territorio del Mont"/>
    <m/>
    <s v="Borzeza"/>
    <n v="1"/>
    <n v="0"/>
    <n v="0"/>
    <n v="0"/>
    <n v="0"/>
    <n v="0"/>
    <n v="10"/>
    <n v="0"/>
    <n v="0"/>
    <n v="0"/>
    <n v="0"/>
    <n v="48.75"/>
    <n v="0"/>
    <n v="0"/>
    <n v="1"/>
    <n v="0"/>
    <n v="0"/>
    <n v="0"/>
    <n v="0"/>
    <n v="0"/>
    <n v="4.875"/>
    <n v="0"/>
    <n v="0"/>
    <n v="0"/>
    <n v="0"/>
    <n v="0"/>
    <s v="Grangiam"/>
    <n v="8.3333333333333339"/>
    <n v="0"/>
    <n v="0"/>
    <n v="0"/>
    <n v="8.3333333333333339"/>
    <n v="0"/>
    <s v="Censu et talha"/>
    <s v="Toussaint"/>
    <s v="Merum et mixtum imperium "/>
    <s v="Castri Devesseti"/>
    <s v="Devesset, in turre supra portam"/>
    <s v="Girandus Girandi de Pulinaco"/>
    <s v="Johane de Mundo"/>
    <s v="Pascalono de Michalo"/>
    <s v="Artaude Macuda"/>
    <s v="Matheo Macuda"/>
    <m/>
    <s v="In quadam compositione olim facta inter dominum aniciensis episcopum et domum Devesseti"/>
  </r>
  <r>
    <n v="461"/>
    <m/>
    <s v="Johanes"/>
    <s v="De Mundo"/>
    <s v="Del Mundo Sancti Martini"/>
    <s v="Parrochie de Tensano"/>
    <m/>
    <m/>
    <s v="H"/>
    <n v="1343"/>
    <x v="0"/>
    <n v="9"/>
    <s v="Raynaud de Fay"/>
    <s v="Homo-licgius justitabilis"/>
    <s v="Talhabilis ad omnimodas voluntatis"/>
    <s v="Non"/>
    <s v="Oui"/>
    <s v="Oui"/>
    <s v="Oui"/>
    <s v="Non"/>
    <s v="Avec bœufs et animaux"/>
    <s v="Contractus emphiteotitarii"/>
    <n v="1"/>
    <n v="1"/>
    <s v="Oui"/>
    <s v="Oui"/>
    <n v="1"/>
    <s v="Oui"/>
    <s v="Oui"/>
    <m/>
    <s v="Oui"/>
    <s v="Oui"/>
    <n v="1"/>
    <s v="Non"/>
    <s v="Non"/>
    <s v="Non"/>
    <s v="Non"/>
    <s v="Non"/>
    <s v="Non"/>
    <s v="Non"/>
    <s v="Non"/>
    <s v="Non"/>
    <s v="Non"/>
    <s v="Non"/>
    <s v="Non"/>
    <s v="Non"/>
    <s v="Non"/>
    <s v="Non"/>
    <s v="Non"/>
    <s v="Non"/>
    <s v="Non"/>
    <s v="Non"/>
    <s v="Non"/>
    <s v="Non"/>
    <s v="Non"/>
    <s v="Non"/>
    <s v="Non"/>
    <s v="Non"/>
    <s v="Non"/>
    <s v="Non"/>
    <s v="Non"/>
    <s v="Non"/>
    <s v="Non"/>
    <s v="Oui"/>
    <m/>
    <m/>
    <s v="Loco et territorio del Mont"/>
    <m/>
    <s v="Borzeza"/>
    <n v="1"/>
    <n v="0"/>
    <n v="0"/>
    <n v="0"/>
    <n v="0"/>
    <n v="1"/>
    <n v="0"/>
    <n v="0"/>
    <n v="0"/>
    <n v="0"/>
    <n v="0"/>
    <n v="19.5"/>
    <n v="0"/>
    <n v="0"/>
    <n v="1.3333333333333333"/>
    <n v="0"/>
    <n v="0"/>
    <n v="0"/>
    <n v="0"/>
    <n v="0"/>
    <n v="6.5"/>
    <n v="0"/>
    <n v="0"/>
    <n v="0"/>
    <n v="0"/>
    <n v="0"/>
    <m/>
    <n v="3.3333333333333335"/>
    <n v="0"/>
    <n v="0"/>
    <n v="0"/>
    <n v="3.3333333333333335"/>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1771"/>
    <m/>
    <s v="Peyrotus et Johannes"/>
    <s v="De Pascalis"/>
    <s v="La Valeta dens Clotz"/>
    <m/>
    <s v="Fratres"/>
    <m/>
    <s v="G"/>
    <n v="1343"/>
    <x v="2"/>
    <n v="5"/>
    <s v="Raynaud de Fay"/>
    <s v="Promisit esse fidelis domui Devesseti cum juramentum"/>
    <m/>
    <m/>
    <m/>
    <m/>
    <m/>
    <m/>
    <m/>
    <s v="Constractus emphiteotarii"/>
    <s v="Non"/>
    <s v="Non"/>
    <s v="Non"/>
    <s v="Non"/>
    <n v="1"/>
    <s v="Non"/>
    <s v="Non"/>
    <s v="Oui"/>
    <s v="Non"/>
    <s v="Non"/>
    <s v="Non"/>
    <s v="Non"/>
    <s v="Non"/>
    <s v="Non"/>
    <s v="Non"/>
    <s v="Non"/>
    <s v="Non"/>
    <s v="Non"/>
    <s v="Non"/>
    <s v="Non"/>
    <s v="Non"/>
    <s v="Non"/>
    <s v="Non"/>
    <s v="Non"/>
    <n v="1"/>
    <s v="Non"/>
    <s v="Non"/>
    <s v="Non"/>
    <s v="Non"/>
    <s v="Non"/>
    <s v="Non"/>
    <s v="Non"/>
    <s v="Non"/>
    <s v="Non"/>
    <s v="Non"/>
    <s v="Non"/>
    <s v="Non"/>
    <s v="Non"/>
    <s v="Non"/>
    <s v="Non"/>
    <s v="Non"/>
    <s v="Non"/>
    <m/>
    <s v="Tenementum + nemus + faciam terre"/>
    <m/>
    <m/>
    <s v="Devesset"/>
    <n v="0"/>
    <n v="0"/>
    <n v="0"/>
    <n v="0"/>
    <n v="1"/>
    <n v="0"/>
    <n v="0"/>
    <n v="0"/>
    <n v="0"/>
    <n v="0"/>
    <n v="0"/>
    <n v="39"/>
    <n v="0"/>
    <n v="0"/>
    <n v="0"/>
    <n v="0"/>
    <n v="0"/>
    <n v="0"/>
    <n v="0"/>
    <n v="0"/>
    <n v="0"/>
    <n v="0"/>
    <n v="0"/>
    <n v="0"/>
    <n v="0"/>
    <n v="0"/>
    <m/>
    <n v="0"/>
    <n v="0"/>
    <n v="0"/>
    <n v="0"/>
    <n v="0"/>
    <n v="0"/>
    <m/>
    <s v="Toussaint"/>
    <m/>
    <m/>
    <s v="Devesset, in turre supra portam"/>
    <s v="Girandus Girandi de Pulinaco"/>
    <s v="Johanne de Gelibertis"/>
    <s v="Unsencio de Villa Nova Devesseti"/>
    <m/>
    <m/>
    <m/>
    <m/>
  </r>
  <r>
    <n v="491"/>
    <m/>
    <s v="Hugo"/>
    <s v="De Paulhac"/>
    <s v="Paulhac"/>
    <m/>
    <m/>
    <m/>
    <s v="H"/>
    <n v="1343"/>
    <x v="0"/>
    <n v="9"/>
    <s v="Raynaud de Fay"/>
    <s v="Homo-licgius, justitabilis et expletabilis"/>
    <s v="Talhabilis ad omnimodas voluntatis"/>
    <s v="Non"/>
    <s v="Oui"/>
    <s v="Oui"/>
    <s v="Oui"/>
    <s v="Non"/>
    <s v="Avec bœufs et animaux"/>
    <s v="Contractus emphiteotitarii"/>
    <n v="1"/>
    <m/>
    <s v="Oui"/>
    <s v="Non"/>
    <s v="Oui"/>
    <s v="Non"/>
    <s v="Non"/>
    <s v="Oui"/>
    <s v="Non"/>
    <s v="Non"/>
    <s v="Non"/>
    <s v="Non"/>
    <s v="Non"/>
    <s v="Non"/>
    <s v="Non"/>
    <s v="Non"/>
    <s v="Non"/>
    <s v="Non"/>
    <s v="Non"/>
    <s v="Non"/>
    <s v="Non"/>
    <s v="Non"/>
    <s v="Non"/>
    <s v="Non"/>
    <s v="Non"/>
    <s v="Non"/>
    <s v="Non"/>
    <s v="Non"/>
    <s v="Non"/>
    <s v="Non"/>
    <s v="Non"/>
    <s v="Non"/>
    <s v="Non"/>
    <s v="Non"/>
    <s v="Non"/>
    <s v="Non"/>
    <s v="Non"/>
    <s v="Non"/>
    <s v="Non"/>
    <s v="Non"/>
    <s v="Non"/>
    <s v="Oui"/>
    <m/>
    <s v="Domum"/>
    <s v="Loco et territorio de Paulhac"/>
    <m/>
    <s v="Devesset"/>
    <n v="1"/>
    <n v="0"/>
    <n v="0"/>
    <n v="0"/>
    <n v="0"/>
    <n v="0"/>
    <n v="10.666666666666666"/>
    <n v="0"/>
    <n v="0"/>
    <n v="0"/>
    <n v="0"/>
    <n v="52"/>
    <n v="0"/>
    <n v="0"/>
    <n v="1.5"/>
    <n v="0"/>
    <n v="0"/>
    <n v="0"/>
    <n v="0"/>
    <n v="0"/>
    <n v="7.3125"/>
    <n v="0"/>
    <n v="0"/>
    <n v="0"/>
    <n v="0"/>
    <n v="0"/>
    <s v="Pasturali"/>
    <n v="5.5"/>
    <n v="0"/>
    <n v="0"/>
    <n v="0"/>
    <n v="5.5"/>
    <n v="0"/>
    <s v="Censu et talha"/>
    <s v="Toussaint"/>
    <m/>
    <s v="Castri Devesseti"/>
    <s v="Devesset"/>
    <s v="Girandus Girandi de Pulinaco"/>
    <s v="Fratre Johanne Meruli"/>
    <s v="Heustachio de quinteato"/>
    <m/>
    <m/>
    <m/>
    <s v="In quadam compositione olim facta inter dominum aniciensis episcopum et domum Devesseti"/>
  </r>
  <r>
    <n v="501"/>
    <m/>
    <s v="Petrus"/>
    <s v="De Paulhac"/>
    <s v="Paulhac"/>
    <m/>
    <s v="Filius Poncii de Paulhac"/>
    <s v="Nomine Laurencii eius fratris"/>
    <s v="H"/>
    <n v="1343"/>
    <x v="0"/>
    <n v="9"/>
    <s v="Raynaud de Fay"/>
    <s v="Homo-licgius, justitabilis et expletabilis"/>
    <s v="Talhabilis ad omnimodas voluntatis"/>
    <s v="Non"/>
    <s v="Oui"/>
    <s v="Oui"/>
    <s v="Oui"/>
    <s v="Non"/>
    <s v="Avec bœufs et animaux"/>
    <s v="Contractus emphiteotitarii"/>
    <s v="Oui"/>
    <s v="Oui"/>
    <s v="Oui"/>
    <s v="Oui"/>
    <s v="Oui"/>
    <s v="Non"/>
    <s v="Non"/>
    <s v="Oui"/>
    <s v="Non"/>
    <s v="Non"/>
    <s v="Non"/>
    <s v="Non"/>
    <s v="Non"/>
    <s v="Non"/>
    <s v="Non"/>
    <s v="Non"/>
    <s v="Non"/>
    <s v="Non"/>
    <s v="Non"/>
    <s v="Oui"/>
    <s v="Non"/>
    <s v="Non"/>
    <s v="Non"/>
    <s v="Non"/>
    <s v="Non"/>
    <s v="Non"/>
    <s v="Non"/>
    <s v="Non"/>
    <s v="Non"/>
    <s v="Non"/>
    <s v="Non"/>
    <s v="Non"/>
    <s v="Non"/>
    <s v="Non"/>
    <s v="Non"/>
    <s v="Non"/>
    <s v="Non"/>
    <s v="Non"/>
    <s v="Non"/>
    <s v="Non"/>
    <s v="Non"/>
    <s v="Oui"/>
    <m/>
    <m/>
    <s v="Territorio de Paulhac"/>
    <s v="Frère"/>
    <s v="Devesset"/>
    <n v="1"/>
    <n v="0"/>
    <n v="0"/>
    <n v="0"/>
    <n v="0"/>
    <n v="0"/>
    <n v="11.166666666666666"/>
    <n v="0"/>
    <n v="0"/>
    <n v="0"/>
    <n v="0"/>
    <n v="54.4375"/>
    <n v="0"/>
    <n v="0"/>
    <n v="4"/>
    <n v="0"/>
    <n v="0"/>
    <n v="0"/>
    <n v="0"/>
    <n v="0"/>
    <n v="19.5"/>
    <n v="0"/>
    <n v="0"/>
    <n v="0"/>
    <n v="0"/>
    <n v="0"/>
    <s v="Prato + petia"/>
    <n v="5.833333333333333"/>
    <n v="0"/>
    <n v="0"/>
    <n v="0"/>
    <n v="5.833333333333333"/>
    <n v="0"/>
    <s v="Talha annua"/>
    <s v="Toussaint"/>
    <m/>
    <s v="Castri Devesseti"/>
    <s v="Devesset"/>
    <s v="Girandus Girandi de Pulinaco"/>
    <s v="Fratre Johanne Meruli"/>
    <s v="Heustachio de quinteato"/>
    <m/>
    <m/>
    <m/>
    <s v="In quadam compositione olim facta inter dominum aniciensis episcopum et domum Devesseti"/>
  </r>
  <r>
    <n v="482"/>
    <m/>
    <s v="Johaneta"/>
    <s v="De Paulhac"/>
    <s v="Del Mundo Sancti Martini"/>
    <m/>
    <s v="Uxor Johanis Valentis de Paulhac condam"/>
    <s v="Nomine Symunde et Martete eius filiarum"/>
    <s v="F"/>
    <n v="1343"/>
    <x v="3"/>
    <n v="4"/>
    <s v="Raynaud de Fay"/>
    <s v="Mulier-licgia, justitabilis et expletabilis"/>
    <m/>
    <s v="Non"/>
    <s v="Non"/>
    <s v="Non"/>
    <s v="Oui"/>
    <s v="Non"/>
    <s v="ut alii mensi dicti mansi"/>
    <s v="Contractus emphiteotitarii"/>
    <s v="Oui"/>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Paulhac"/>
    <s v="Enfants"/>
    <s v="Borzeza"/>
    <n v="1"/>
    <n v="0"/>
    <n v="0"/>
    <n v="0"/>
    <n v="0"/>
    <n v="0"/>
    <n v="10.166666666666666"/>
    <n v="0"/>
    <n v="0"/>
    <n v="0"/>
    <n v="0"/>
    <n v="49.5625"/>
    <n v="0"/>
    <n v="0"/>
    <n v="3.5"/>
    <n v="0"/>
    <n v="0"/>
    <n v="0"/>
    <n v="0"/>
    <n v="0"/>
    <n v="17.0625"/>
    <n v="0"/>
    <n v="0"/>
    <n v="0"/>
    <n v="0"/>
    <n v="0"/>
    <s v="Unam seytoratam prati vocati prati soleyra"/>
    <n v="5.333333333333333"/>
    <n v="0"/>
    <n v="0"/>
    <n v="0"/>
    <n v="5.333333333333333"/>
    <n v="0"/>
    <m/>
    <s v="Toussaint"/>
    <m/>
    <s v="Castri Devesseti"/>
    <s v="Devesset, in turre supra portam"/>
    <s v="Girandus Girandi de Pulinaco"/>
    <s v="Petro filio Poncii de Paulhac"/>
    <s v="Andree de Jalibertis"/>
    <m/>
    <m/>
    <m/>
    <m/>
  </r>
  <r>
    <n v="742"/>
    <s v="Marge illisible"/>
    <s v="Guillermus"/>
    <s v="De Ponte"/>
    <s v="Chanclausa"/>
    <m/>
    <s v="Filius Vitalis de Ponte"/>
    <m/>
    <s v="H"/>
    <n v="1344"/>
    <x v="3"/>
    <n v="23"/>
    <s v="Raynaud de Fay"/>
    <s v="Promisit esse fidelis tenementarius domus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 Domum Aliza de Ponte"/>
    <m/>
    <m/>
    <m/>
    <n v="0"/>
    <n v="0"/>
    <n v="0"/>
    <n v="0"/>
    <n v="0"/>
    <n v="0"/>
    <n v="0"/>
    <n v="0"/>
    <n v="0"/>
    <n v="0"/>
    <n v="0"/>
    <n v="0"/>
    <n v="0"/>
    <n v="0"/>
    <n v="0"/>
    <n v="0"/>
    <n v="0"/>
    <n v="0"/>
    <n v="0"/>
    <n v="0"/>
    <n v="0"/>
    <n v="0"/>
    <n v="0"/>
    <n v="0"/>
    <n v="0"/>
    <n v="0"/>
    <s v="Pratum"/>
    <n v="0.16666666666666666"/>
    <n v="0"/>
    <n v="0"/>
    <n v="0"/>
    <n v="0.16666666666666666"/>
    <n v="0"/>
    <m/>
    <s v="Toussaint"/>
    <m/>
    <m/>
    <s v="Devesset, in turre supra portam"/>
    <s v="Girandus Girandi de Pulinaco"/>
    <s v="Jacobo de Molendino"/>
    <s v="Alisa de Ponte"/>
    <m/>
    <m/>
    <m/>
    <m/>
  </r>
  <r>
    <n v="743"/>
    <s v="Marge illisible"/>
    <s v="Aliza"/>
    <s v="De Ponte"/>
    <s v="Chanclausa"/>
    <m/>
    <m/>
    <s v="Nomine suis iberorum"/>
    <s v="H"/>
    <n v="1344"/>
    <x v="3"/>
    <n v="23"/>
    <s v="Raynaud de Fay"/>
    <s v="Mulier-licgia"/>
    <m/>
    <m/>
    <m/>
    <m/>
    <m/>
    <m/>
    <m/>
    <m/>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Successoribus esse debent homine licgii domus Devesseti"/>
    <m/>
    <m/>
    <s v="Enfants"/>
    <m/>
    <n v="0"/>
    <m/>
    <m/>
    <n v="0"/>
    <m/>
    <m/>
    <m/>
    <m/>
    <m/>
    <n v="0"/>
    <m/>
    <n v="0"/>
    <m/>
    <m/>
    <m/>
    <m/>
    <m/>
    <m/>
    <m/>
    <m/>
    <n v="0"/>
    <m/>
    <m/>
    <m/>
    <m/>
    <m/>
    <s v="Payé par Guillermo de Ponte"/>
    <m/>
    <m/>
    <m/>
    <m/>
    <n v="0"/>
    <m/>
    <m/>
    <m/>
    <m/>
    <m/>
    <s v="Devesset, in turre supra portam"/>
    <s v="Girandus Girandi de Pulinaco"/>
    <s v="Jacobo de Molendino"/>
    <s v="Guillermo de Ponte"/>
    <m/>
    <m/>
    <m/>
    <m/>
  </r>
  <r>
    <n v="741"/>
    <s v="Marge illisible"/>
    <s v="Guillermus"/>
    <s v="De Ponte"/>
    <s v="Chanclausa"/>
    <m/>
    <s v="Filius Vitalis de Ponte"/>
    <m/>
    <s v="H"/>
    <n v="1343"/>
    <x v="6"/>
    <n v="13"/>
    <s v="Raynaud de Fay"/>
    <s v="Promisit esse fidelis tenementarius domus Devesseti"/>
    <m/>
    <m/>
    <m/>
    <m/>
    <m/>
    <m/>
    <m/>
    <s v="Contractus emphiteotitarii"/>
    <s v="Non"/>
    <s v="Non"/>
    <n v="3"/>
    <n v="1"/>
    <s v="Non"/>
    <s v="Non"/>
    <n v="1"/>
    <s v="Non"/>
    <s v="Non"/>
    <s v="Non"/>
    <s v="Non"/>
    <s v="Non"/>
    <s v="Non"/>
    <s v="Non"/>
    <s v="Non"/>
    <s v="Non"/>
    <s v="Non"/>
    <s v="Non"/>
    <s v="Non"/>
    <s v="Non"/>
    <s v="Non"/>
    <s v="Non"/>
    <s v="Non"/>
    <s v="Non"/>
    <s v="Non"/>
    <s v="Non"/>
    <s v="Non"/>
    <s v="Non"/>
    <s v="Non"/>
    <s v="Non"/>
    <s v="Non"/>
    <s v="Non"/>
    <s v="Non"/>
    <s v="Non"/>
    <s v="Non"/>
    <s v="Non"/>
    <s v="Non"/>
    <s v="Non"/>
    <s v="Non"/>
    <s v="Non"/>
    <s v="Non"/>
    <s v="Non"/>
    <m/>
    <m/>
    <m/>
    <m/>
    <s v="Fay"/>
    <n v="0.5"/>
    <n v="0"/>
    <n v="0"/>
    <n v="0"/>
    <n v="0"/>
    <n v="0"/>
    <n v="3"/>
    <n v="0"/>
    <n v="0"/>
    <n v="0"/>
    <n v="0"/>
    <n v="14.625"/>
    <n v="0"/>
    <n v="0"/>
    <n v="0"/>
    <n v="0"/>
    <n v="0"/>
    <n v="0"/>
    <n v="0"/>
    <n v="0"/>
    <n v="0"/>
    <n v="0"/>
    <n v="0"/>
    <n v="0"/>
    <n v="0"/>
    <n v="0"/>
    <s v="Prato"/>
    <n v="1.8333333333333333"/>
    <n v="0"/>
    <n v="0"/>
    <n v="0"/>
    <n v="1.8333333333333333"/>
    <n v="0"/>
    <m/>
    <s v="Toussaint"/>
    <m/>
    <m/>
    <s v="Devesset, in turre supra portam"/>
    <s v="Girandus Girandi de Pulinaco"/>
    <s v="Fratre Johane Meruli"/>
    <s v="Eustachio de Quinteo clericus de Malagayta"/>
    <s v="Johane de Malagayta"/>
    <m/>
    <m/>
    <m/>
  </r>
  <r>
    <n v="1461"/>
    <m/>
    <s v="Johannis et Girardus"/>
    <s v="De Rilhac"/>
    <s v="Rilhac"/>
    <m/>
    <s v="Fratres"/>
    <s v="Johannes nomine Petronille Clerzonessa eius uxoris"/>
    <s v="G"/>
    <n v="1342"/>
    <x v="3"/>
    <s v="?"/>
    <s v="Raynaud de Fay"/>
    <s v="Homo-licgius, justitabilis et expletabilis"/>
    <m/>
    <s v="Non"/>
    <s v="Oui"/>
    <s v="Oui"/>
    <s v="Oui"/>
    <s v="Non"/>
    <m/>
    <m/>
    <s v="Oui"/>
    <s v="Oui"/>
    <s v="Oui"/>
    <s v="Non"/>
    <s v="Oui"/>
    <s v="Oui"/>
    <s v="Oui"/>
    <s v="Non"/>
    <s v="Non"/>
    <s v="Non"/>
    <s v="Non"/>
    <s v="Oui"/>
    <s v="Non"/>
    <s v="Non"/>
    <s v="Non"/>
    <s v="Oui"/>
    <n v="1"/>
    <s v="Non"/>
    <s v="Non"/>
    <n v="1"/>
    <s v="Non"/>
    <s v="Non"/>
    <s v="Non"/>
    <n v="1"/>
    <s v="Non"/>
    <s v="Non"/>
    <s v="Non"/>
    <s v="Non"/>
    <s v="Non"/>
    <s v="Non"/>
    <s v="Non"/>
    <s v="Non"/>
    <s v="Non"/>
    <s v="Non"/>
    <s v="Non"/>
    <s v="Non"/>
    <s v="Non"/>
    <s v="Non"/>
    <s v="Non"/>
    <s v="Non"/>
    <s v="Non"/>
    <s v="Oui"/>
    <m/>
    <s v="Domos + tenementum + ouchiam + gairaitum + ortum + 3 prati + pasturale + 1 petiam + nemus + sanha"/>
    <s v="Apud Rilhac et in eius territorio -&gt; tenementum"/>
    <s v="Femme"/>
    <s v="Devesset"/>
    <n v="1"/>
    <n v="0"/>
    <n v="0"/>
    <n v="0"/>
    <n v="0"/>
    <n v="0"/>
    <n v="12.5"/>
    <n v="0"/>
    <n v="0"/>
    <n v="0"/>
    <n v="0"/>
    <n v="60.9375"/>
    <n v="0"/>
    <n v="0"/>
    <n v="6.5"/>
    <n v="0"/>
    <n v="0"/>
    <n v="0"/>
    <n v="0"/>
    <n v="0"/>
    <n v="31.6875"/>
    <n v="0"/>
    <n v="0"/>
    <n v="0"/>
    <n v="0"/>
    <n v="0"/>
    <s v="Possessiones eius uxoris"/>
    <n v="14.75"/>
    <n v="1"/>
    <n v="0"/>
    <n v="0"/>
    <n v="14.791666666666666"/>
    <n v="0"/>
    <s v="Censu et talha"/>
    <m/>
    <s v="Mero et mixto imperio"/>
    <s v="De mandamento et infra mandamento juridictione domus Devesseti"/>
    <m/>
    <m/>
    <m/>
    <m/>
    <m/>
    <m/>
    <m/>
    <m/>
  </r>
  <r>
    <n v="1123"/>
    <m/>
    <s v="Peyrononus"/>
    <s v="De Rivo"/>
    <s v="Gorgoras"/>
    <m/>
    <m/>
    <m/>
    <s v="H"/>
    <n v="1343"/>
    <x v="8"/>
    <n v="29"/>
    <s v="Raynaud de Fay"/>
    <m/>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o"/>
    <m/>
    <m/>
    <m/>
    <n v="0"/>
    <n v="0"/>
    <n v="0"/>
    <n v="0"/>
    <n v="0"/>
    <n v="0"/>
    <n v="0"/>
    <n v="0"/>
    <n v="0"/>
    <n v="0"/>
    <n v="0"/>
    <n v="0"/>
    <n v="0"/>
    <n v="0"/>
    <n v="0"/>
    <n v="0"/>
    <n v="0"/>
    <n v="0"/>
    <n v="0"/>
    <n v="0"/>
    <n v="0"/>
    <n v="0"/>
    <n v="0"/>
    <n v="0"/>
    <n v="0"/>
    <n v="0"/>
    <s v="Prato"/>
    <n v="0.5"/>
    <n v="0"/>
    <n v="0"/>
    <n v="0"/>
    <n v="0.5"/>
    <n v="0"/>
    <m/>
    <m/>
    <m/>
    <m/>
    <m/>
    <m/>
    <m/>
    <m/>
    <m/>
    <m/>
    <m/>
    <m/>
  </r>
  <r>
    <n v="1482"/>
    <m/>
    <s v="Armandus"/>
    <s v="De Ruppe"/>
    <s v="Ruppe"/>
    <m/>
    <s v="Filius Petri de Ruppe"/>
    <m/>
    <s v="H"/>
    <n v="1342"/>
    <x v="3"/>
    <s v="?"/>
    <s v="Raynaud de Fay"/>
    <s v="Homo-licgius, justitabilis et expletabilis"/>
    <m/>
    <s v="Non"/>
    <s v="Oui"/>
    <s v="Oui"/>
    <s v="Oui"/>
    <s v="Oui"/>
    <m/>
    <m/>
    <s v="Oui"/>
    <s v="Oui"/>
    <s v="Oui"/>
    <s v="Non"/>
    <n v="1"/>
    <s v="Non"/>
    <s v="Non"/>
    <s v="Non"/>
    <s v="Non"/>
    <s v="Non"/>
    <s v="Non"/>
    <s v="Non"/>
    <s v="Non"/>
    <s v="Non"/>
    <s v="Non"/>
    <n v="2"/>
    <n v="3"/>
    <s v="Oui"/>
    <s v="Non"/>
    <s v="Oui"/>
    <s v="Non"/>
    <s v="Non"/>
    <s v="Non"/>
    <s v="Non"/>
    <s v="Non"/>
    <s v="Non"/>
    <s v="Non"/>
    <s v="Oui"/>
    <s v="Non"/>
    <s v="Non"/>
    <s v="Non"/>
    <s v="Non"/>
    <s v="Non"/>
    <s v="Non"/>
    <s v="Non"/>
    <s v="Non"/>
    <s v="Non"/>
    <s v="Non"/>
    <s v="Non"/>
    <s v="Non"/>
    <s v="Non"/>
    <s v="Non"/>
    <m/>
    <s v="Domos + ortos + 2 ouchiam + 3 terram + nemus + 9 prati + 3 garaitum + 6 partem petia + 2 partem prati + 2 partem orti + 2 partem trium vinea + possessiones + partem patile communum + partem"/>
    <m/>
    <m/>
    <s v="Devesset"/>
    <n v="1"/>
    <n v="0"/>
    <n v="0"/>
    <n v="0"/>
    <n v="2"/>
    <n v="0"/>
    <n v="0"/>
    <n v="0"/>
    <n v="1"/>
    <n v="0"/>
    <n v="0"/>
    <n v="87.75"/>
    <n v="0"/>
    <n v="0"/>
    <n v="7.5"/>
    <n v="0"/>
    <n v="0"/>
    <n v="0"/>
    <n v="0"/>
    <n v="0"/>
    <n v="36.5625"/>
    <n v="0"/>
    <n v="0"/>
    <n v="0"/>
    <n v="0"/>
    <n v="0"/>
    <s v="Pro Bernardo de Chanhac"/>
    <n v="17.25"/>
    <n v="0"/>
    <n v="0"/>
    <n v="0"/>
    <n v="17.25"/>
    <n v="0"/>
    <s v="Censu et talha"/>
    <m/>
    <s v="Mero et mixto imperio"/>
    <s v="De juridictione mandaenti et infra mandamento domus seu castri Devesseti"/>
    <m/>
    <m/>
    <m/>
    <m/>
    <m/>
    <m/>
    <m/>
    <m/>
  </r>
  <r>
    <n v="1432"/>
    <s v="Page dure à lire"/>
    <s v="Bartholomeus + Bonafides, Peyronetus, Guigo et Vialonus + Matheus et Johanenus"/>
    <s v="De Ruppeta + de Verneto + de la Rocheta"/>
    <s v="Del Verne"/>
    <m/>
    <s v="Johanenus de la Rocheta filius Guigonis de la Rocheta condam"/>
    <s v="Bertholomeus de Ruppeta nomine Johannis et Vitalis de Ruppeta fratrum suorum + Bonafides de Verneto nomine Johannis et Petri de Vermeto eius fratrum et Catrine eorum sororum + Peyruchonetus de Verneto nomine Guillermeti eius sorrii + Matheus de la Rocheta nomine Petronille et Andrene de la Rocheta eius sororum + Johanenus de la Rocheta nomine Pineti eius fratris et Guiillome Pastoris et Geremie eius sororis + Guigo de Verneto nomine Bartholomeo eius fratris et nomine liberorum Johannis de Verneto condam + Vialonis de Verneto nomine Poncii, Vilete et Andrene eius sororum "/>
    <s v="G"/>
    <n v="1343"/>
    <x v="3"/>
    <n v="18"/>
    <s v="Raynaud de Fay"/>
    <m/>
    <m/>
    <m/>
    <m/>
    <m/>
    <m/>
    <m/>
    <m/>
    <s v="Constractus emphiteotarii"/>
    <s v="Non"/>
    <s v="Non"/>
    <s v="Non"/>
    <s v="Non"/>
    <s v="Non"/>
    <s v="Non"/>
    <s v="Non"/>
    <s v="Non"/>
    <s v="Non"/>
    <s v="Non"/>
    <s v="Non"/>
    <s v="Non"/>
    <s v="Non"/>
    <s v="Non"/>
    <s v="Non"/>
    <s v="Non"/>
    <s v="Non"/>
    <s v="Non"/>
    <s v="Non"/>
    <s v="Non"/>
    <s v="Non"/>
    <s v="Non"/>
    <s v="Non"/>
    <s v="Non"/>
    <s v="Non"/>
    <s v="Non"/>
    <s v="Non"/>
    <s v="Non"/>
    <s v="Non"/>
    <s v="Non"/>
    <s v="Non"/>
    <n v="1"/>
    <s v="Non"/>
    <s v="Non"/>
    <s v="Non"/>
    <s v="Non"/>
    <s v="Non"/>
    <s v="Non"/>
    <s v="Non"/>
    <s v="Non"/>
    <s v="Non"/>
    <s v="Non"/>
    <m/>
    <s v="Chastanerium"/>
    <m/>
    <s v="Divers"/>
    <m/>
    <n v="0"/>
    <n v="0"/>
    <n v="0"/>
    <n v="0"/>
    <n v="0"/>
    <n v="0"/>
    <n v="0"/>
    <n v="0"/>
    <n v="0"/>
    <n v="0"/>
    <n v="0"/>
    <n v="0"/>
    <n v="0"/>
    <n v="0"/>
    <n v="0"/>
    <n v="0"/>
    <n v="0"/>
    <n v="0"/>
    <n v="0"/>
    <n v="0"/>
    <n v="0"/>
    <n v="0"/>
    <n v="6"/>
    <n v="1"/>
    <n v="0"/>
    <n v="0"/>
    <s v="Chastanerium"/>
    <n v="0"/>
    <n v="0"/>
    <n v="0"/>
    <n v="0"/>
    <n v="0"/>
    <n v="0"/>
    <m/>
    <s v="Toussaint"/>
    <m/>
    <m/>
    <m/>
    <s v="Girandus Girandi de Pulinaco"/>
    <m/>
    <m/>
    <m/>
    <m/>
    <m/>
    <s v="Compositione olim facta per religiosus virum fratrum Artaudum Elie preceptoris Devesseti condam et Petro de Mastra domino dicti castri de Mastra"/>
  </r>
  <r>
    <n v="181"/>
    <m/>
    <s v="Johanes"/>
    <s v="De Sancto Anthonio"/>
    <s v="Chalmariais"/>
    <m/>
    <m/>
    <s v="Nomine liberorum suorum"/>
    <s v="H"/>
    <n v="1342"/>
    <x v="5"/>
    <n v="18"/>
    <s v="Raynaud de Fay"/>
    <s v="Homo-licgius, justitabilis et expletabilis"/>
    <s v="Talhabilis ad omnimodas voluntatis"/>
    <s v="Non"/>
    <s v="Oui"/>
    <s v="Oui"/>
    <s v="Oui"/>
    <s v="Non"/>
    <m/>
    <m/>
    <n v="1"/>
    <n v="1"/>
    <s v="Oui"/>
    <s v="Oui"/>
    <s v="Non"/>
    <s v="Oui"/>
    <s v="Oui"/>
    <s v="Non"/>
    <s v="Oui"/>
    <s v="Oui"/>
    <s v="Non"/>
    <s v="Non"/>
    <s v="Non"/>
    <s v="Non"/>
    <s v="Non"/>
    <s v="Non"/>
    <s v="Non"/>
    <s v="Non"/>
    <s v="Non"/>
    <s v="Non"/>
    <s v="Non"/>
    <s v="Non"/>
    <s v="Non"/>
    <s v="Non"/>
    <s v="Non"/>
    <s v="Non"/>
    <s v="Non"/>
    <s v="Non"/>
    <s v="Non"/>
    <s v="Non"/>
    <s v="Non"/>
    <s v="Non"/>
    <s v="Non"/>
    <s v="Non"/>
    <s v="Non"/>
    <s v="Non"/>
    <s v="Non"/>
    <s v="Non"/>
    <s v="Non"/>
    <s v="Non"/>
    <s v="Non"/>
    <s v="Oui"/>
    <m/>
    <s v="Domum + pasturale"/>
    <s v="Loco et territorio de Chalmariais"/>
    <s v="Fils"/>
    <s v="Tence"/>
    <n v="0.5"/>
    <n v="0"/>
    <n v="0"/>
    <n v="0"/>
    <n v="0"/>
    <n v="0"/>
    <n v="2"/>
    <n v="1"/>
    <n v="0"/>
    <n v="0"/>
    <n v="0"/>
    <n v="12.1875"/>
    <n v="0"/>
    <n v="0"/>
    <n v="0.83333333333333326"/>
    <n v="0.5"/>
    <n v="3"/>
    <n v="0"/>
    <n v="0"/>
    <n v="0"/>
    <n v="34.53125"/>
    <n v="0"/>
    <n v="0"/>
    <n v="0"/>
    <n v="0"/>
    <n v="0"/>
    <s v="Possessiones liberorum suorum"/>
    <n v="9.5"/>
    <n v="1.3333333333333333"/>
    <n v="1"/>
    <n v="0"/>
    <n v="9.5763888888888893"/>
    <n v="0"/>
    <s v="Censu et talha"/>
    <s v="Toussaint"/>
    <s v="Merum et mixtum imperio"/>
    <s v="De mandato et infra mandamento et omnimoda juridictione loci de Chalmariais"/>
    <s v="Devesset, in turre supra portam"/>
    <s v="Girandus Girandi de Pulinaco"/>
    <s v="Fratre Johanne Meruli ordinis Sancti Johanis Jherosolimitani"/>
    <s v="Johanne Jucge al' verila"/>
    <s v="Thoma Chanbonane"/>
    <m/>
    <m/>
    <m/>
  </r>
  <r>
    <n v="251"/>
    <m/>
    <s v="Agnita"/>
    <s v="De Sancto Anthonio"/>
    <s v="Chalmariais"/>
    <m/>
    <m/>
    <m/>
    <s v="F"/>
    <n v="1343"/>
    <x v="5"/>
    <n v="31"/>
    <s v="Renaud de Fay"/>
    <s v="Mulier-licgia, justitabilis et expletabilis"/>
    <s v="Talhabilis ad omnimodas voluntatis"/>
    <s v="Non"/>
    <s v="Oui"/>
    <s v="Oui"/>
    <s v="Non"/>
    <s v="Non"/>
    <s v="Prout alii homines"/>
    <s v="Contractus emphiteotitarii"/>
    <n v="1"/>
    <n v="2"/>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m/>
    <s v="Chalmariais"/>
    <m/>
    <m/>
    <n v="0.5"/>
    <n v="0"/>
    <n v="0"/>
    <n v="0"/>
    <n v="0"/>
    <n v="0"/>
    <n v="0"/>
    <n v="0"/>
    <n v="0"/>
    <n v="0"/>
    <n v="0"/>
    <n v="0"/>
    <n v="0"/>
    <n v="0"/>
    <n v="0"/>
    <n v="0"/>
    <n v="0"/>
    <n v="0"/>
    <n v="0"/>
    <n v="0"/>
    <n v="0"/>
    <n v="0"/>
    <n v="0"/>
    <n v="0"/>
    <n v="0"/>
    <n v="0"/>
    <m/>
    <n v="0.33333333333333331"/>
    <n v="0"/>
    <n v="0"/>
    <n v="0"/>
    <n v="0.33333333333333331"/>
    <n v="0"/>
    <s v="Pro ortis"/>
    <s v="Toussaint"/>
    <m/>
    <m/>
    <s v="Devesset, in turre supra portam"/>
    <s v="Girandus Girandi de Pulinaco"/>
    <s v="Metheus Morelli de Ruppepaula"/>
    <s v="Matheo Matinerii"/>
    <m/>
    <m/>
    <m/>
    <m/>
  </r>
  <r>
    <n v="1391"/>
    <m/>
    <s v="Bernardus"/>
    <s v="De Sanna"/>
    <s v="Sanna"/>
    <m/>
    <s v="Nobilis viri"/>
    <s v="Gondomius eius filius"/>
    <s v="H"/>
    <n v="1342"/>
    <x v="12"/>
    <n v="15"/>
    <s v="Raynaud de Fay"/>
    <m/>
    <m/>
    <m/>
    <m/>
    <m/>
    <m/>
    <m/>
    <m/>
    <m/>
    <s v="Non"/>
    <s v="Non"/>
    <n v="1"/>
    <s v="Non"/>
    <s v="Non"/>
    <s v="Non"/>
    <s v="Non"/>
    <n v="9.1666666666666661"/>
    <s v="Non"/>
    <s v="Non"/>
    <s v="Non"/>
    <s v="Non"/>
    <s v="Non"/>
    <s v="Non"/>
    <s v="Non"/>
    <s v="Non"/>
    <s v="Non"/>
    <s v="Non"/>
    <s v="Non"/>
    <s v="Non"/>
    <s v="Non"/>
    <s v="Non"/>
    <s v="Non"/>
    <s v="Non"/>
    <s v="Non"/>
    <s v="Non"/>
    <s v="Non"/>
    <s v="Non"/>
    <s v="Non"/>
    <s v="Non"/>
    <s v="Non"/>
    <s v="Non"/>
    <s v="Non"/>
    <s v="Non"/>
    <s v="Non"/>
    <s v="Non"/>
    <s v="Non"/>
    <s v="Non"/>
    <s v="Non"/>
    <s v="Non"/>
    <s v="Non"/>
    <s v="Oui"/>
    <m/>
    <s v="Sextam partem petiam terre + 9 petiam terre + partem in facia + 3 possessiones + 1 pratum"/>
    <m/>
    <s v="Fils"/>
    <s v="Sanna"/>
    <n v="0"/>
    <n v="0"/>
    <n v="0"/>
    <n v="0"/>
    <n v="1"/>
    <n v="0"/>
    <n v="0"/>
    <n v="0"/>
    <n v="0"/>
    <n v="0"/>
    <n v="0"/>
    <n v="39"/>
    <n v="1"/>
    <n v="0"/>
    <n v="0"/>
    <n v="0"/>
    <n v="0"/>
    <n v="0"/>
    <n v="0"/>
    <n v="0"/>
    <n v="39"/>
    <n v="0"/>
    <n v="0"/>
    <n v="0"/>
    <n v="0"/>
    <n v="0"/>
    <m/>
    <n v="4"/>
    <n v="0"/>
    <n v="0"/>
    <n v="0"/>
    <n v="4"/>
    <n v="0"/>
    <m/>
    <m/>
    <s v="Alta et bassa mero et mixto imperio"/>
    <s v="De et sub omnimoda juridictione castri Devesseti"/>
    <s v="Devesset, sub estras"/>
    <s v="Girandus Girandi de Pulinaco"/>
    <s v="Fratre Petro de Casalibus"/>
    <s v="Johanne Meruli"/>
    <s v="Andree Garalis norarii regis"/>
    <s v="Mandono de Flossac domicelli"/>
    <m/>
    <s v="Pacto que erant inter domini Raymundum de Sanna militem patrem dicti Raymundi condam ex parte una et domini Armandum de Retortorio militem condam ex parte altera "/>
  </r>
  <r>
    <n v="761"/>
    <m/>
    <s v="Bonafides"/>
    <s v="De Sapeto"/>
    <s v="Del Sape"/>
    <m/>
    <m/>
    <m/>
    <s v="H"/>
    <n v="1343"/>
    <x v="6"/>
    <n v="14"/>
    <s v="Raynaud de Fay"/>
    <s v="Homo-licgius, justitabilis et expletabilis"/>
    <s v="Talhabilis ad omnimodas voluntatis"/>
    <s v="Non"/>
    <s v="Oui"/>
    <s v="Oui"/>
    <s v="Oui"/>
    <s v="Non"/>
    <s v="Avec bœufs et animaux"/>
    <s v="Contractus emphiteotitarii"/>
    <s v="Oui"/>
    <s v="Oui"/>
    <s v="Oui"/>
    <s v="Non"/>
    <s v="Non"/>
    <s v="Non"/>
    <s v="Oui"/>
    <s v="Oui"/>
    <s v="Non"/>
    <s v="Non"/>
    <s v="Non"/>
    <s v="Non"/>
    <s v="Non"/>
    <s v="Non"/>
    <s v="Non"/>
    <s v="Non"/>
    <s v="Non"/>
    <s v="Non"/>
    <s v="Non"/>
    <s v="Non"/>
    <s v="Non"/>
    <s v="Non"/>
    <s v="Non"/>
    <s v="Non"/>
    <s v="Non"/>
    <s v="Non"/>
    <s v="Non"/>
    <s v="Non"/>
    <s v="Non"/>
    <s v="Non"/>
    <s v="Non"/>
    <s v="Non"/>
    <s v="Non"/>
    <s v="Non"/>
    <s v="Non"/>
    <s v="Non"/>
    <s v="Non"/>
    <s v="Non"/>
    <s v="Non"/>
    <s v="Non"/>
    <s v="Non"/>
    <s v="Oui"/>
    <s v="Avec aquarum et curtibus"/>
    <s v="Domos + possessiones"/>
    <s v="Loco et territorio Del Sape"/>
    <m/>
    <s v="Fay"/>
    <n v="1"/>
    <n v="0"/>
    <n v="0"/>
    <n v="0"/>
    <n v="0"/>
    <n v="1"/>
    <n v="0"/>
    <n v="0"/>
    <n v="0"/>
    <n v="0"/>
    <n v="0"/>
    <n v="19.5"/>
    <n v="0"/>
    <n v="0"/>
    <n v="1"/>
    <n v="0"/>
    <n v="1"/>
    <n v="0"/>
    <n v="0"/>
    <n v="0"/>
    <n v="14.625"/>
    <n v="0"/>
    <n v="0"/>
    <n v="0"/>
    <n v="0"/>
    <n v="0"/>
    <s v="Decima"/>
    <n v="0.33333333333333331"/>
    <n v="0"/>
    <n v="0"/>
    <n v="0"/>
    <n v="0.33333333333333331"/>
    <n v="0"/>
    <m/>
    <s v="Toussaint"/>
    <s v="De juridictine et senhoria"/>
    <s v="Castri Devesseti"/>
    <s v="Devesset, in turre supra portam"/>
    <s v="Girandus Girandi de Pulinaco"/>
    <s v="Guillermo Blacha domicelli"/>
    <s v="Johane Chambo"/>
    <s v="Petro Malpinha"/>
    <m/>
    <m/>
    <s v="In quadam compositione olim facta inter dominum aniciensis episcopum et domum Devesseti"/>
  </r>
  <r>
    <n v="481"/>
    <m/>
    <s v="Michael"/>
    <s v="De Sollemniaco"/>
    <s v="Del Mundo Sancti Martini"/>
    <m/>
    <m/>
    <s v="nomine Andiene eius uxoris"/>
    <s v="H"/>
    <n v="1343"/>
    <x v="0"/>
    <n v="9"/>
    <s v="Raynaud de Fay"/>
    <m/>
    <m/>
    <s v="Non"/>
    <s v="Non"/>
    <s v="Non"/>
    <s v="Non"/>
    <s v="Non"/>
    <m/>
    <s v="Contractus emphiteotitarii"/>
    <s v="Non"/>
    <s v="Non"/>
    <s v="1 Seytorata prati"/>
    <s v="Non"/>
    <s v="Non"/>
    <s v="Non"/>
    <s v="Non"/>
    <s v="Non"/>
    <s v="Non"/>
    <s v="Non"/>
    <s v="Non"/>
    <s v="Non"/>
    <s v="Non"/>
    <s v="Non"/>
    <s v="Non"/>
    <s v="Non"/>
    <s v="Non"/>
    <s v="Non"/>
    <s v="Non"/>
    <s v="Non"/>
    <s v="Non"/>
    <s v="Non"/>
    <s v="Non"/>
    <s v="Non"/>
    <s v="Non"/>
    <s v="Non"/>
    <s v="Non"/>
    <s v="Non"/>
    <s v="Non"/>
    <s v="Non"/>
    <s v="Non"/>
    <s v="Non"/>
    <s v="Non"/>
    <s v="Non"/>
    <s v="Non"/>
    <s v="Non"/>
    <s v="Non"/>
    <s v="Non"/>
    <s v="Non"/>
    <s v="Non"/>
    <s v="Non"/>
    <s v="Non"/>
    <m/>
    <m/>
    <m/>
    <s v="Mari"/>
    <m/>
    <n v="0"/>
    <n v="0"/>
    <n v="0"/>
    <n v="0"/>
    <n v="0"/>
    <n v="0"/>
    <n v="0"/>
    <n v="0"/>
    <n v="0"/>
    <n v="0"/>
    <n v="0"/>
    <n v="0"/>
    <n v="0"/>
    <n v="0"/>
    <n v="0"/>
    <n v="0"/>
    <n v="0"/>
    <n v="0"/>
    <n v="0"/>
    <n v="0"/>
    <n v="0"/>
    <n v="0"/>
    <n v="0"/>
    <n v="0"/>
    <n v="0"/>
    <n v="0"/>
    <m/>
    <n v="0.66666666666666663"/>
    <n v="0"/>
    <n v="0"/>
    <n v="0"/>
    <n v="0.66666666666666663"/>
    <n v="0"/>
    <m/>
    <s v="Toussaint"/>
    <m/>
    <s v="Castri Devesseti"/>
    <s v="Devesset, in turre supra portam"/>
    <s v="Girandus Girandi de Pulinaco"/>
    <s v="Arnaudo de Macello clerico"/>
    <s v="Michele de sollepniaco"/>
    <s v="Vitale de Mundo"/>
    <m/>
    <m/>
    <m/>
  </r>
  <r>
    <n v="1431"/>
    <m/>
    <s v="Filius"/>
    <s v="De Unario"/>
    <s v="Unario"/>
    <m/>
    <s v="Filius Guigonis Unario condam"/>
    <m/>
    <s v="H"/>
    <n v="1343"/>
    <x v="3"/>
    <n v="12"/>
    <s v="Raynaud de Fay"/>
    <s v="Homo-licgius"/>
    <m/>
    <m/>
    <m/>
    <m/>
    <m/>
    <m/>
    <m/>
    <s v="Constractus emphiteotarii"/>
    <n v="1"/>
    <s v="Oui"/>
    <s v="Oui"/>
    <s v="Non"/>
    <s v="Oui"/>
    <s v="Oui"/>
    <s v="Oui"/>
    <s v="Oui"/>
    <s v="Non"/>
    <s v="Non"/>
    <s v="Non"/>
    <s v="Oui"/>
    <s v="Non"/>
    <s v="Non"/>
    <n v="1"/>
    <s v="Non"/>
    <s v="Non"/>
    <s v="Non"/>
    <s v="Non"/>
    <s v="Non"/>
    <s v="Non"/>
    <s v="Non"/>
    <s v="Non"/>
    <s v="Non"/>
    <s v="Non"/>
    <s v="Non"/>
    <s v="Non"/>
    <s v="Non"/>
    <s v="Non"/>
    <s v="Non"/>
    <s v="Non"/>
    <s v="Non"/>
    <s v="Non"/>
    <s v="Non"/>
    <s v="Non"/>
    <s v="Non"/>
    <s v="Non"/>
    <s v="Non"/>
    <s v="Non"/>
    <s v="Non"/>
    <s v="Non"/>
    <s v="Oui"/>
    <m/>
    <s v="Partum [-]rii"/>
    <m/>
    <m/>
    <s v="Devesset"/>
    <n v="0.5"/>
    <n v="0"/>
    <n v="0"/>
    <n v="0"/>
    <n v="0"/>
    <n v="0"/>
    <n v="0"/>
    <n v="0"/>
    <n v="0"/>
    <n v="0"/>
    <n v="0"/>
    <n v="0"/>
    <n v="0"/>
    <n v="0"/>
    <n v="0"/>
    <n v="6"/>
    <n v="0"/>
    <n v="0"/>
    <n v="1"/>
    <n v="0"/>
    <n v="15.84375"/>
    <n v="0"/>
    <n v="0"/>
    <n v="0"/>
    <n v="0"/>
    <n v="0"/>
    <m/>
    <n v="5"/>
    <n v="0"/>
    <n v="0"/>
    <n v="0"/>
    <n v="5"/>
    <n v="0"/>
    <m/>
    <s v="Toussaint"/>
    <s v="De dominio et senhoria"/>
    <s v="Domus Devesseti"/>
    <s v="Devesset, in turre supra portam"/>
    <s v="Girandus Girandi de Pulinaco"/>
    <s v="Guillermo Grosseti"/>
    <s v="Jacobo del Ferre Sartori parrochie Sancti Baschi"/>
    <m/>
    <m/>
    <m/>
    <s v="Quadam compositione ?"/>
  </r>
  <r>
    <n v="1321"/>
    <s v="Page dure à lire"/>
    <s v="Duorum Fratrum"/>
    <s v="De Vilario"/>
    <s v="Vilario"/>
    <s v="Parrochie de Masthanelha"/>
    <s v="Heredes […] de Vilario condam"/>
    <m/>
    <s v="G"/>
    <n v="1343"/>
    <x v="2"/>
    <n v="12"/>
    <s v="Raynaud de Fay"/>
    <s v="Homo-licgius"/>
    <m/>
    <m/>
    <m/>
    <m/>
    <m/>
    <m/>
    <m/>
    <s v="Constractus emphiteotarii"/>
    <n v="1"/>
    <s v="Oui"/>
    <s v="Oui"/>
    <s v="Oui"/>
    <s v="Oui"/>
    <s v="Oui"/>
    <s v="Oui"/>
    <s v="Oui"/>
    <s v="Non"/>
    <s v="Non"/>
    <s v="Non"/>
    <s v="Non"/>
    <s v="Non"/>
    <s v="Non"/>
    <n v="1"/>
    <s v="Non"/>
    <s v="Non"/>
    <s v="Non"/>
    <s v="Non"/>
    <s v="Non"/>
    <s v="Non"/>
    <s v="Non"/>
    <s v="Non"/>
    <s v="Non"/>
    <s v="Non"/>
    <s v="Non"/>
    <s v="Non"/>
    <s v="Non"/>
    <s v="Non"/>
    <s v="Non"/>
    <s v="Non"/>
    <s v="Non"/>
    <s v="Non"/>
    <s v="Non"/>
    <s v="Non"/>
    <s v="Non"/>
    <s v="Non"/>
    <s v="Non"/>
    <s v="Non"/>
    <s v="Non"/>
    <s v="Non"/>
    <s v="Oui"/>
    <m/>
    <s v="Medietate territorio del Vilar"/>
    <m/>
    <m/>
    <s v="Chalencon"/>
    <n v="1"/>
    <n v="0"/>
    <n v="0"/>
    <n v="0"/>
    <n v="0"/>
    <n v="0"/>
    <n v="0"/>
    <n v="0"/>
    <n v="0"/>
    <n v="2"/>
    <n v="12"/>
    <n v="119.4375"/>
    <n v="0"/>
    <n v="0"/>
    <n v="0"/>
    <n v="0"/>
    <n v="0"/>
    <n v="0"/>
    <n v="0"/>
    <n v="0"/>
    <n v="0"/>
    <n v="0"/>
    <n v="0"/>
    <n v="0"/>
    <n v="0"/>
    <n v="0"/>
    <m/>
    <n v="1"/>
    <n v="0"/>
    <n v="0"/>
    <n v="0"/>
    <n v="1"/>
    <n v="0"/>
    <m/>
    <s v="Toussaint"/>
    <s v="De dominio et senhoria"/>
    <s v="Domus Devesseti"/>
    <s v="Apud Lo Vilar, in domo fratrum de Vilario"/>
    <s v="Girandus Girandi de Pulinaco"/>
    <s v="Comme plus bas"/>
    <m/>
    <m/>
    <m/>
    <m/>
    <s v="In compositione inter domus Devesseti et domini de Mastra"/>
  </r>
  <r>
    <n v="1322"/>
    <m/>
    <s v="Johannes"/>
    <s v="De Vilario"/>
    <s v="Vilario"/>
    <m/>
    <s v="Filius Guigone de Vilario condam"/>
    <m/>
    <s v="H"/>
    <n v="1343"/>
    <x v="2"/>
    <n v="12"/>
    <s v="Raynaud de Fay"/>
    <s v="Homo-licgius"/>
    <m/>
    <m/>
    <m/>
    <m/>
    <m/>
    <m/>
    <m/>
    <s v="Constractus emphiteotarii"/>
    <n v="1"/>
    <s v="Oui"/>
    <s v="Oui"/>
    <s v="Oui"/>
    <s v="Oui"/>
    <s v="Oui"/>
    <s v="Oui"/>
    <s v="Non"/>
    <s v="Oui"/>
    <s v="Oui"/>
    <s v="Non"/>
    <s v="Non"/>
    <s v="Non"/>
    <s v="Non"/>
    <n v="1"/>
    <s v="Non"/>
    <s v="Non"/>
    <s v="Non"/>
    <s v="Non"/>
    <s v="Non"/>
    <s v="Non"/>
    <s v="Non"/>
    <s v="Non"/>
    <s v="Non"/>
    <s v="Non"/>
    <s v="Non"/>
    <s v="Non"/>
    <s v="Non"/>
    <s v="Non"/>
    <s v="Oui"/>
    <s v="Non"/>
    <s v="Non"/>
    <s v="Non"/>
    <s v="Non"/>
    <s v="Non"/>
    <s v="Non"/>
    <s v="Non"/>
    <s v="Non"/>
    <s v="Non"/>
    <s v="Non"/>
    <s v="Non"/>
    <s v="Oui"/>
    <m/>
    <s v="Quartam partem loci et territorii del Vilar"/>
    <m/>
    <m/>
    <s v="Chalencon"/>
    <n v="0.5"/>
    <n v="0"/>
    <n v="0"/>
    <n v="0"/>
    <n v="0"/>
    <n v="0"/>
    <n v="0"/>
    <n v="0"/>
    <n v="0"/>
    <n v="1"/>
    <n v="6"/>
    <n v="59.71875"/>
    <n v="0"/>
    <n v="0"/>
    <n v="0"/>
    <n v="0"/>
    <n v="0"/>
    <n v="0"/>
    <n v="0"/>
    <n v="0"/>
    <n v="0"/>
    <n v="0"/>
    <n v="0"/>
    <n v="0"/>
    <n v="0"/>
    <n v="0"/>
    <m/>
    <n v="5"/>
    <n v="0"/>
    <n v="0"/>
    <n v="0"/>
    <n v="5"/>
    <n v="0"/>
    <m/>
    <s v="Toussaint"/>
    <s v="De dominio et senhoria"/>
    <s v="Domus Devesseti"/>
    <s v="Apud Lo Vilar, in domo fratrum de Vilario"/>
    <s v="Girandus Girandi de Pulinaco"/>
    <s v="Comme plus bas"/>
    <m/>
    <m/>
    <m/>
    <m/>
    <m/>
  </r>
  <r>
    <n v="1501"/>
    <m/>
    <s v="Johannes et Joheannes Guigonis + Peyrononis"/>
    <s v="De Villaloma + Nigris"/>
    <s v="Villalonia"/>
    <m/>
    <s v="Johannes et Johannes Guigonis consanguinei"/>
    <s v="Peyrononis nomine Valerie eius ucoris"/>
    <s v="G"/>
    <n v="1342"/>
    <x v="3"/>
    <s v="?"/>
    <s v="Raynaud de Fay"/>
    <m/>
    <m/>
    <m/>
    <m/>
    <m/>
    <m/>
    <m/>
    <m/>
    <s v="Constractus emphiteotarii"/>
    <s v="Non"/>
    <s v="Non"/>
    <n v="0.5"/>
    <s v="Non"/>
    <s v="Non"/>
    <s v="Non"/>
    <s v="Non"/>
    <s v="Non"/>
    <s v="Non"/>
    <s v="Non"/>
    <s v="Non"/>
    <s v="Non"/>
    <s v="Non"/>
    <s v="Non"/>
    <s v="Non"/>
    <s v="Non"/>
    <s v="Non"/>
    <s v="Non"/>
    <s v="Non"/>
    <s v="Non"/>
    <s v="Non"/>
    <s v="Non"/>
    <s v="Non"/>
    <s v="Non"/>
    <s v="Non"/>
    <s v="Non"/>
    <s v="Non"/>
    <s v="Non"/>
    <s v="Non"/>
    <s v="Non"/>
    <s v="Non"/>
    <s v="Non"/>
    <s v="Non"/>
    <s v="Non"/>
    <s v="Non"/>
    <s v="Non"/>
    <s v="Non"/>
    <s v="Non"/>
    <s v="Non"/>
    <s v="Non"/>
    <s v="Non"/>
    <s v="Non"/>
    <m/>
    <s v="Medietatem prati"/>
    <m/>
    <s v="Sœur"/>
    <m/>
    <n v="0"/>
    <n v="0"/>
    <n v="0"/>
    <n v="0"/>
    <n v="0"/>
    <n v="0"/>
    <n v="0"/>
    <n v="0"/>
    <n v="0"/>
    <n v="0"/>
    <n v="0"/>
    <n v="0"/>
    <n v="0"/>
    <n v="0"/>
    <n v="0"/>
    <n v="0"/>
    <n v="0"/>
    <n v="0"/>
    <n v="0"/>
    <n v="0"/>
    <n v="0"/>
    <n v="0"/>
    <n v="0"/>
    <n v="0"/>
    <n v="0"/>
    <n v="0"/>
    <s v="Medietatem prati"/>
    <n v="1.0833333333333333"/>
    <n v="1"/>
    <n v="0"/>
    <n v="0"/>
    <n v="1.125"/>
    <n v="0"/>
    <m/>
    <s v="Toussaint"/>
    <m/>
    <m/>
    <s v="Devesset, in quoquina"/>
    <s v="Girandus Girandi de Pulinaco"/>
    <s v="Petro de Casalibus"/>
    <s v="Johanne Meruli"/>
    <s v="Petro Del Cros"/>
    <m/>
    <m/>
    <m/>
  </r>
  <r>
    <n v="1441"/>
    <s v="Page dure à lire"/>
    <s v="Stephanis"/>
    <s v="De Viriderio"/>
    <s v="Viriderio"/>
    <s v="Parochie de Juliani in Valcancia"/>
    <m/>
    <m/>
    <s v="H"/>
    <n v="1345"/>
    <x v="1"/>
    <n v="23"/>
    <s v="Raynaud de Fay"/>
    <m/>
    <m/>
    <m/>
    <m/>
    <m/>
    <m/>
    <m/>
    <m/>
    <m/>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Totum locum"/>
    <m/>
    <m/>
    <m/>
    <n v="0"/>
    <n v="0"/>
    <n v="0"/>
    <n v="0"/>
    <n v="0"/>
    <n v="0"/>
    <n v="0"/>
    <n v="0"/>
    <n v="0"/>
    <n v="0"/>
    <n v="0"/>
    <n v="0"/>
    <n v="0"/>
    <n v="0"/>
    <n v="0"/>
    <n v="0"/>
    <n v="0"/>
    <n v="0"/>
    <n v="0"/>
    <n v="0"/>
    <n v="0"/>
    <n v="0"/>
    <n v="0"/>
    <n v="0"/>
    <n v="0"/>
    <n v="0"/>
    <s v="Partem loci + totum locum"/>
    <n v="1.3333333333333333"/>
    <n v="0"/>
    <n v="0"/>
    <n v="0"/>
    <n v="1.3333333333333333"/>
    <n v="0"/>
    <m/>
    <s v="Toussaint"/>
    <m/>
    <m/>
    <s v="Devesset, ante portam castri"/>
    <s v="Girandus Girandi de Pulinaco"/>
    <s v="Jacobo Fayni de Sabinariais"/>
    <s v="Bernardo de Sanna"/>
    <s v="Monidie de Flossac"/>
    <m/>
    <m/>
    <m/>
  </r>
  <r>
    <n v="1442"/>
    <m/>
    <s v="Girandus"/>
    <s v="De Viriderio"/>
    <s v="Viriderio"/>
    <s v="Parrochie Sancti Juliani in Valcanscia"/>
    <m/>
    <m/>
    <s v="H"/>
    <n v="1345"/>
    <x v="1"/>
    <n v="23"/>
    <s v="Raynaud de Fay"/>
    <m/>
    <m/>
    <m/>
    <m/>
    <m/>
    <m/>
    <m/>
    <m/>
    <m/>
    <s v="Oui"/>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m/>
    <m/>
    <m/>
    <m/>
    <n v="0"/>
    <n v="0"/>
    <n v="0"/>
    <n v="0"/>
    <n v="0"/>
    <n v="0"/>
    <n v="0"/>
    <n v="0"/>
    <n v="0"/>
    <n v="0"/>
    <n v="0"/>
    <n v="0"/>
    <n v="0"/>
    <n v="0"/>
    <n v="0"/>
    <n v="0"/>
    <n v="0"/>
    <n v="0"/>
    <n v="0"/>
    <n v="0"/>
    <n v="0"/>
    <n v="0"/>
    <n v="0"/>
    <n v="0"/>
    <n v="0"/>
    <n v="0"/>
    <s v="Partem loci"/>
    <n v="1.3333333333333333"/>
    <n v="0"/>
    <n v="0"/>
    <n v="0"/>
    <n v="1.3333333333333333"/>
    <n v="0"/>
    <m/>
    <s v="Toussaint"/>
    <m/>
    <m/>
    <s v="Devesset, ante portam castri"/>
    <s v="Girandus Girandi de Pulinaco"/>
    <s v="Jacobo Fayni de Sabinariais"/>
    <s v="Bernardo de Sanna"/>
    <s v="Monidie de Flossac"/>
    <m/>
    <m/>
    <m/>
  </r>
  <r>
    <n v="1311"/>
    <m/>
    <s v="Vitalis"/>
    <s v="Del Chastanheir de Jannac"/>
    <s v="Del Chastanheir de Jannac"/>
    <m/>
    <s v="Filius Petri Chastaneir de Jannac"/>
    <m/>
    <s v="H"/>
    <n v="1343"/>
    <x v="2"/>
    <n v="10"/>
    <s v="Raynaud de Fay"/>
    <m/>
    <m/>
    <m/>
    <m/>
    <m/>
    <m/>
    <m/>
    <m/>
    <s v="Constractus emphiteotarii"/>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Ortum + domum"/>
    <m/>
    <m/>
    <m/>
    <n v="0"/>
    <n v="0"/>
    <n v="0"/>
    <n v="0"/>
    <n v="0"/>
    <n v="0"/>
    <n v="0"/>
    <n v="0"/>
    <n v="0"/>
    <n v="0"/>
    <n v="0"/>
    <n v="0"/>
    <n v="0"/>
    <n v="0"/>
    <n v="0"/>
    <n v="0"/>
    <n v="0"/>
    <n v="0"/>
    <n v="0"/>
    <n v="0"/>
    <n v="0"/>
    <n v="0"/>
    <n v="0"/>
    <n v="0"/>
    <n v="0"/>
    <n v="0"/>
    <m/>
    <n v="0.25"/>
    <n v="0"/>
    <n v="0"/>
    <n v="0"/>
    <n v="0.25"/>
    <n v="0"/>
    <m/>
    <s v="Toussaint"/>
    <m/>
    <m/>
    <s v="Apud Avenas, in domo dicti Poncii"/>
    <s v="Girandus Girandi de Pulinaco"/>
    <s v="Fratre Johane Meruli Hospitalis"/>
    <s v="Johanno Lo Cordineir de Chaslario"/>
    <s v="Guillermo Grosseti Servienti Devesseti"/>
    <m/>
    <m/>
    <m/>
  </r>
  <r>
    <n v="1302"/>
    <m/>
    <s v="Petrus"/>
    <s v="Del Chastanhier"/>
    <s v="Del Chastanheir de Jannac"/>
    <m/>
    <s v="Filius Panche del Chastanhier"/>
    <m/>
    <s v="H"/>
    <n v="1343"/>
    <x v="2"/>
    <n v="10"/>
    <s v="Raynaud de Fay"/>
    <s v="Promisit esse fidelis tenementarius domus Devesseti"/>
    <m/>
    <m/>
    <m/>
    <m/>
    <m/>
    <m/>
    <m/>
    <s v="Constractus emphiteotarii"/>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Ortum + domum"/>
    <m/>
    <m/>
    <m/>
    <n v="0"/>
    <n v="0"/>
    <n v="0"/>
    <n v="0"/>
    <n v="0"/>
    <n v="0"/>
    <n v="0"/>
    <n v="0"/>
    <n v="0"/>
    <n v="0"/>
    <n v="0"/>
    <n v="0"/>
    <n v="0"/>
    <n v="0"/>
    <n v="0"/>
    <n v="0"/>
    <n v="0"/>
    <n v="0"/>
    <n v="0"/>
    <n v="0"/>
    <n v="0"/>
    <n v="0"/>
    <n v="0"/>
    <n v="0"/>
    <n v="0"/>
    <n v="0"/>
    <m/>
    <n v="8.3333333333333329E-2"/>
    <n v="0"/>
    <n v="0"/>
    <n v="0"/>
    <n v="8.3333333333333329E-2"/>
    <n v="0"/>
    <m/>
    <s v="Toussaint"/>
    <m/>
    <m/>
    <s v="Apud Avenas, in domo dicti Poncii"/>
    <s v="Girandus Girandi de Pulinaco"/>
    <s v="Fratre Johane Meruli"/>
    <s v="Guillermo Grosseti Servienti Devesseti"/>
    <s v="Poncio d'Avenas"/>
    <m/>
    <m/>
    <m/>
  </r>
  <r>
    <n v="471"/>
    <m/>
    <s v="Blancheta"/>
    <s v="Del Mont"/>
    <s v="Del Mundo Sancti Martini"/>
    <m/>
    <m/>
    <s v="Pro Anthonie Marse eius filiabus"/>
    <s v="F"/>
    <n v="1343"/>
    <x v="0"/>
    <n v="9"/>
    <s v="Raynaud de Fay"/>
    <s v="Mulier-licgia, justitabilis et expletabilis"/>
    <s v="Talhabilis ad omnimodas voluntatis"/>
    <s v="Non"/>
    <s v="Oui"/>
    <s v="Oui"/>
    <s v="Oui"/>
    <s v="Non"/>
    <s v="Avec bœufs et animaux"/>
    <s v="Contractus emphiteotitarii"/>
    <n v="1"/>
    <s v="Oui"/>
    <s v="Oui"/>
    <s v="Oui"/>
    <s v="Oui"/>
    <s v="Non"/>
    <s v="Oui"/>
    <s v="Non"/>
    <s v="Oui"/>
    <s v="Non"/>
    <s v="Non"/>
    <s v="Non"/>
    <s v="Non"/>
    <s v="Non"/>
    <s v="Non"/>
    <s v="Non"/>
    <s v="Non"/>
    <s v="Non"/>
    <s v="Non"/>
    <s v="Non"/>
    <s v="Non"/>
    <s v="Non"/>
    <s v="Non"/>
    <s v="Non"/>
    <s v="Non"/>
    <s v="Non"/>
    <s v="Non"/>
    <s v="Non"/>
    <s v="Non"/>
    <s v="Non"/>
    <s v="Non"/>
    <s v="Non"/>
    <s v="Non"/>
    <s v="Non"/>
    <s v="Non"/>
    <s v="Non"/>
    <s v="Non"/>
    <s v="Non"/>
    <s v="Non"/>
    <s v="Non"/>
    <s v="Non"/>
    <s v="Oui"/>
    <m/>
    <s v="Domam et grangiam"/>
    <s v="Loco de territoio de Mundo"/>
    <s v="Fille"/>
    <s v="Borzeza"/>
    <n v="0"/>
    <n v="0"/>
    <n v="0"/>
    <n v="0"/>
    <n v="0"/>
    <n v="1"/>
    <n v="0"/>
    <n v="0"/>
    <n v="0"/>
    <n v="0"/>
    <n v="0"/>
    <n v="19.5"/>
    <n v="0"/>
    <n v="0"/>
    <n v="0.33333333333333331"/>
    <n v="0"/>
    <n v="1"/>
    <n v="0"/>
    <n v="0"/>
    <n v="0"/>
    <n v="11.375"/>
    <n v="0"/>
    <n v="0"/>
    <n v="0"/>
    <n v="0"/>
    <n v="0"/>
    <m/>
    <n v="3.3333333333333335"/>
    <n v="0"/>
    <n v="0"/>
    <n v="0"/>
    <n v="3.3333333333333335"/>
    <n v="0"/>
    <s v="Censu et talha"/>
    <s v="Toussaint"/>
    <s v="Merum et mixtum imperium "/>
    <s v="Castri Devesseti"/>
    <s v="Devesset, in turre supra portam"/>
    <s v="Girandus Girandi de Pulinaco"/>
    <s v="Arnaudo de Macello clerico"/>
    <s v="Michele de sollepniaco"/>
    <s v="Vitale de Mundo"/>
    <m/>
    <m/>
    <s v="In quadam compositione olim facta inter dominum aniciensis episcopum et domum Devesseti"/>
  </r>
  <r>
    <n v="771"/>
    <m/>
    <s v="Matheus"/>
    <s v="Del Sape"/>
    <s v="Del Sape"/>
    <m/>
    <m/>
    <m/>
    <s v="H"/>
    <n v="1343"/>
    <x v="6"/>
    <n v="14"/>
    <s v="Raynaud de Fay"/>
    <s v="Homo-licgius, justitabilis et expletabilis"/>
    <s v="Talhabilis ad omnimodas voluntatis"/>
    <s v="Non"/>
    <s v="Oui"/>
    <s v="Oui"/>
    <s v="Oui"/>
    <s v="Non"/>
    <s v="Avec bœufs et animaux"/>
    <s v="Contractus emphiteotitarii"/>
    <n v="1"/>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s v="Forme mansum del Sape"/>
    <s v="Domum + possessiones"/>
    <s v="Loco et territorio Del Sape"/>
    <m/>
    <s v="Fay"/>
    <n v="0"/>
    <n v="0"/>
    <n v="0"/>
    <n v="0"/>
    <n v="0"/>
    <n v="1"/>
    <n v="1"/>
    <n v="0"/>
    <n v="0"/>
    <n v="0"/>
    <n v="0"/>
    <n v="24.375"/>
    <n v="0"/>
    <n v="0"/>
    <n v="0"/>
    <n v="0"/>
    <n v="1"/>
    <n v="0"/>
    <n v="0"/>
    <n v="0"/>
    <n v="9.75"/>
    <n v="0"/>
    <n v="0"/>
    <n v="0"/>
    <n v="0"/>
    <n v="0"/>
    <s v="Decima"/>
    <n v="0.41666666666666669"/>
    <n v="0"/>
    <n v="0"/>
    <n v="0"/>
    <n v="0.41666666666666669"/>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1812"/>
    <m/>
    <s v="Peyruchonis"/>
    <s v="Del Tremole"/>
    <s v="Ruppe"/>
    <m/>
    <m/>
    <m/>
    <s v="H"/>
    <n v="1344"/>
    <x v="4"/>
    <n v="13"/>
    <s v="Raynaud de Fay"/>
    <m/>
    <m/>
    <m/>
    <m/>
    <m/>
    <m/>
    <m/>
    <m/>
    <m/>
    <s v="Non"/>
    <s v="Non"/>
    <s v="Non"/>
    <s v="Non"/>
    <s v="Oui"/>
    <s v="Non"/>
    <s v="Non"/>
    <s v="Non"/>
    <s v="Non"/>
    <s v="Non"/>
    <s v="Non"/>
    <s v="Non"/>
    <s v="Non"/>
    <s v="Non"/>
    <s v="Non"/>
    <s v="Non"/>
    <s v="Non"/>
    <s v="Non"/>
    <s v="Non"/>
    <s v="Non"/>
    <s v="Non"/>
    <s v="Non"/>
    <s v="Non"/>
    <s v="Non"/>
    <s v="Non"/>
    <s v="Non"/>
    <s v="Non"/>
    <s v="Non"/>
    <s v="Non"/>
    <s v="Non"/>
    <s v="Non"/>
    <s v="Non"/>
    <s v="Non"/>
    <s v="Non"/>
    <s v="Non"/>
    <s v="Non"/>
    <s v="Non"/>
    <s v="Non"/>
    <s v="Non"/>
    <s v="Non"/>
    <s v="Non"/>
    <s v="Non"/>
    <m/>
    <s v="Partem nemore"/>
    <m/>
    <m/>
    <s v="Devesset"/>
    <n v="0"/>
    <n v="0"/>
    <n v="0"/>
    <n v="0"/>
    <n v="0"/>
    <n v="0"/>
    <n v="0"/>
    <n v="0"/>
    <n v="0"/>
    <n v="0"/>
    <n v="0"/>
    <n v="0"/>
    <n v="0"/>
    <n v="0"/>
    <n v="0.5"/>
    <n v="0"/>
    <n v="0"/>
    <n v="0"/>
    <n v="0"/>
    <n v="0"/>
    <n v="2.4375"/>
    <n v="0"/>
    <n v="0"/>
    <n v="0"/>
    <n v="0"/>
    <n v="0"/>
    <s v="Partem nemore"/>
    <n v="0"/>
    <n v="0"/>
    <n v="0"/>
    <n v="0"/>
    <n v="0"/>
    <n v="0"/>
    <m/>
    <s v="Toussaint"/>
    <m/>
    <m/>
    <s v="Devesset, in turre supra portam"/>
    <s v="Girandus Girandi de Pulinaco"/>
    <s v="Petro Dulcis"/>
    <s v="Petro de Mont Reone"/>
    <s v="Andree de Jalibeits"/>
    <m/>
    <m/>
    <m/>
  </r>
  <r>
    <n v="311"/>
    <m/>
    <s v="Jacobus"/>
    <s v="Dens Pontetz"/>
    <s v="Pontetz"/>
    <m/>
    <m/>
    <m/>
    <s v="H"/>
    <n v="1343"/>
    <x v="0"/>
    <n v="2"/>
    <s v="Raynaud de Fay"/>
    <s v="Homo-licgius, justitabilis et expletabilis"/>
    <s v="Talhabilis et expletabilis ad omnimodas voluntatis"/>
    <s v="Non"/>
    <s v="Oui"/>
    <s v="Oui"/>
    <s v="Oui"/>
    <s v="Non"/>
    <s v="Avec bœufs et animaux"/>
    <s v="Contractus emphiteotitarii"/>
    <s v="Oui"/>
    <s v="Oui"/>
    <s v="Oui"/>
    <s v="Oui"/>
    <n v="1"/>
    <s v="Oui"/>
    <s v="Oui"/>
    <s v="Non"/>
    <s v="Non"/>
    <s v="Non"/>
    <s v="Non"/>
    <s v="Non"/>
    <s v="Oui"/>
    <s v="Oui"/>
    <s v="Non"/>
    <s v="Non"/>
    <s v="Non"/>
    <s v="Non"/>
    <s v="Non"/>
    <s v="Non"/>
    <s v="Non"/>
    <s v="Non"/>
    <s v="Non"/>
    <s v="Non"/>
    <s v="Non"/>
    <s v="Non"/>
    <s v="Non"/>
    <s v="Non"/>
    <s v="Non"/>
    <s v="Non"/>
    <s v="Non"/>
    <s v="Non"/>
    <s v="Non"/>
    <s v="Non"/>
    <s v="Non"/>
    <s v="Non"/>
    <s v="Non"/>
    <s v="Non"/>
    <s v="Non"/>
    <s v="Non"/>
    <s v="Non"/>
    <s v="Oui"/>
    <m/>
    <s v="Prati"/>
    <s v="Dens Pontetz"/>
    <m/>
    <s v="Tence"/>
    <n v="0.33333333333333331"/>
    <n v="0"/>
    <n v="0"/>
    <n v="0"/>
    <n v="0"/>
    <n v="0"/>
    <n v="0"/>
    <n v="0"/>
    <n v="1"/>
    <n v="0"/>
    <n v="0"/>
    <n v="9.75"/>
    <n v="0"/>
    <n v="0"/>
    <n v="0.33333333333333331"/>
    <n v="0"/>
    <n v="1"/>
    <n v="0"/>
    <n v="0"/>
    <n v="0"/>
    <n v="11.375"/>
    <n v="0"/>
    <n v="0"/>
    <n v="0"/>
    <n v="0"/>
    <n v="0.5"/>
    <s v="Possessions forment 1/3 Tenement Dens Potetz + nemus + bayliagio + calma + assensa"/>
    <n v="1.9166666666666667"/>
    <n v="1"/>
    <n v="0"/>
    <n v="1.3333333333333335"/>
    <n v="1.9861111111111112"/>
    <n v="0"/>
    <s v="Censu et talha"/>
    <s v="Toussaint"/>
    <s v="Merum et mixtum imperium "/>
    <s v="Mandemento et infra mandamentum juridictione loci et castri de Chalmariais"/>
    <s v="Devesset, in turre supra portam"/>
    <s v="Girandus Girandi de Pulinaco"/>
    <s v="Petro Anibayserii clerico"/>
    <s v="Matheo Morelli de Ruppe Paula"/>
    <m/>
    <m/>
    <m/>
    <m/>
  </r>
  <r>
    <n v="321"/>
    <m/>
    <s v="Guigona"/>
    <s v="Dens Pontetz"/>
    <s v="Pontetz"/>
    <m/>
    <m/>
    <m/>
    <s v="F"/>
    <n v="1343"/>
    <x v="0"/>
    <n v="2"/>
    <s v="Raynaud de Fay"/>
    <s v="Mulier-licgia justitabilis"/>
    <s v="Talhabilis ad omnimodas voluntatis"/>
    <s v="Non"/>
    <s v="Oui"/>
    <s v="Oui"/>
    <s v="Oui"/>
    <s v="Non"/>
    <s v="Avec bœufs et animaux"/>
    <s v="Contractus emphiteotitarii"/>
    <s v="Oui"/>
    <s v="Oui"/>
    <s v="Oui"/>
    <s v="Oui"/>
    <n v="1"/>
    <s v="Oui"/>
    <s v="Oui"/>
    <s v="Non"/>
    <s v="Non"/>
    <s v="Oui"/>
    <s v="Non"/>
    <s v="Oui"/>
    <s v="Non"/>
    <s v="Oui"/>
    <s v="Non"/>
    <s v="Non"/>
    <s v="Non"/>
    <s v="Non"/>
    <s v="Non"/>
    <s v="Non"/>
    <s v="Non"/>
    <s v="Non"/>
    <s v="Non"/>
    <s v="Non"/>
    <s v="Non"/>
    <s v="Non"/>
    <s v="Non"/>
    <s v="Non"/>
    <s v="Non"/>
    <s v="Non"/>
    <s v="Non"/>
    <s v="Non"/>
    <s v="Non"/>
    <s v="Non"/>
    <s v="Non"/>
    <s v="Non"/>
    <s v="Non"/>
    <s v="Non"/>
    <s v="Non"/>
    <s v="Non"/>
    <s v="Non"/>
    <s v="Non"/>
    <m/>
    <m/>
    <m/>
    <m/>
    <s v="Tence"/>
    <n v="0.5"/>
    <n v="0"/>
    <n v="0"/>
    <n v="0"/>
    <n v="0"/>
    <n v="1"/>
    <n v="0"/>
    <n v="0"/>
    <n v="0"/>
    <n v="0"/>
    <n v="0"/>
    <n v="19.5"/>
    <n v="0"/>
    <n v="1"/>
    <n v="0.5"/>
    <n v="0"/>
    <n v="0"/>
    <n v="0"/>
    <n v="0"/>
    <n v="0"/>
    <n v="21.9375"/>
    <n v="0"/>
    <n v="0"/>
    <n v="0"/>
    <n v="0"/>
    <n v="0"/>
    <s v="Possession forment 1/2 loci et teritorii Dens Pontetz + bayliagio + prata + calma + assensa"/>
    <n v="3.916666666666667"/>
    <n v="0"/>
    <n v="0"/>
    <n v="3.75"/>
    <n v="3.994791666666667"/>
    <n v="0"/>
    <s v="Censu et talha"/>
    <s v="Toussaint"/>
    <s v="De juridictione omnimoda"/>
    <s v="Mandemento et infra mandamentum castri de Chalmariais"/>
    <s v="Devesset, in turre supra portam"/>
    <s v="Girandus Girandi de Pulinaco"/>
    <s v="Petro Anibayserii clerico"/>
    <s v="Matheo Morelli de Ruppe Paula"/>
    <m/>
    <m/>
    <m/>
    <m/>
  </r>
  <r>
    <n v="1122"/>
    <m/>
    <s v="Blancha"/>
    <s v="Diutras"/>
    <s v="Gorgoras"/>
    <m/>
    <m/>
    <s v="Pro filia sua"/>
    <s v="F"/>
    <n v="1343"/>
    <x v="8"/>
    <n v="29"/>
    <s v="Raynaud de Fay"/>
    <m/>
    <m/>
    <m/>
    <m/>
    <m/>
    <m/>
    <m/>
    <m/>
    <m/>
    <m/>
    <m/>
    <m/>
    <m/>
    <m/>
    <m/>
    <m/>
    <m/>
    <m/>
    <m/>
    <m/>
    <m/>
    <m/>
    <m/>
    <m/>
    <m/>
    <m/>
    <m/>
    <m/>
    <m/>
    <m/>
    <m/>
    <m/>
    <m/>
    <m/>
    <m/>
    <m/>
    <m/>
    <m/>
    <m/>
    <m/>
    <m/>
    <m/>
    <m/>
    <m/>
    <m/>
    <m/>
    <m/>
    <m/>
    <m/>
    <m/>
    <m/>
    <m/>
    <m/>
    <m/>
    <s v="Fille"/>
    <s v="Pas mesure indiquée, mais probablement Borzezam"/>
    <n v="0"/>
    <n v="0"/>
    <n v="0"/>
    <n v="0"/>
    <n v="0"/>
    <n v="0"/>
    <n v="0.16666666666666666"/>
    <n v="0"/>
    <n v="0"/>
    <n v="0"/>
    <n v="0"/>
    <n v="0.8125"/>
    <n v="0"/>
    <n v="0"/>
    <n v="0.16666666666666666"/>
    <n v="0"/>
    <n v="0"/>
    <n v="0"/>
    <n v="0"/>
    <n v="0"/>
    <n v="0.8125"/>
    <n v="0"/>
    <n v="0"/>
    <n v="0"/>
    <n v="0"/>
    <n v="0"/>
    <m/>
    <n v="8.3333333333333329E-2"/>
    <n v="0"/>
    <n v="0"/>
    <n v="0.5"/>
    <n v="9.375E-2"/>
    <n v="0"/>
    <m/>
    <m/>
    <m/>
    <m/>
    <m/>
    <m/>
    <m/>
    <m/>
    <m/>
    <m/>
    <m/>
    <m/>
  </r>
  <r>
    <n v="1811"/>
    <m/>
    <s v="Petrus"/>
    <s v="Dulcis"/>
    <s v="Ruppe"/>
    <s v="Habitator Sancti Agrippani"/>
    <m/>
    <m/>
    <s v="H"/>
    <n v="1344"/>
    <x v="4"/>
    <n v="13"/>
    <s v="Raynaud de Fay"/>
    <s v="Promisit esse fidelis tenementarius domus Devesseti"/>
    <m/>
    <m/>
    <m/>
    <m/>
    <m/>
    <m/>
    <m/>
    <s v="Constractus emphiteotarii"/>
    <s v="Non"/>
    <s v="Non"/>
    <n v="1"/>
    <s v="Non"/>
    <s v="Non"/>
    <s v="Non"/>
    <s v="Non"/>
    <s v="Oui"/>
    <s v="Non"/>
    <s v="Non"/>
    <s v="Non"/>
    <s v="Non"/>
    <s v="Non"/>
    <s v="Non"/>
    <s v="Non"/>
    <s v="Non"/>
    <s v="Non"/>
    <s v="Non"/>
    <s v="Non"/>
    <n v="1"/>
    <s v="Non"/>
    <s v="Non"/>
    <s v="Non"/>
    <s v="Non"/>
    <s v="Non"/>
    <s v="Non"/>
    <s v="Non"/>
    <s v="Non"/>
    <s v="Non"/>
    <s v="Non"/>
    <s v="Non"/>
    <s v="Non"/>
    <s v="Non"/>
    <s v="Non"/>
    <s v="Non"/>
    <s v="Non"/>
    <s v="Non"/>
    <s v="Non"/>
    <s v="Non"/>
    <s v="Non"/>
    <s v="Non"/>
    <s v="Non"/>
    <m/>
    <s v="Faciam terre + petiam terre + petiam + 2 pratum"/>
    <m/>
    <m/>
    <s v="Devesset"/>
    <n v="0"/>
    <n v="0"/>
    <n v="0"/>
    <n v="0"/>
    <n v="0"/>
    <n v="0"/>
    <n v="0.5"/>
    <n v="0"/>
    <n v="1"/>
    <n v="0"/>
    <n v="0"/>
    <n v="12.1875"/>
    <n v="0"/>
    <n v="0"/>
    <n v="0"/>
    <n v="0"/>
    <n v="0"/>
    <n v="0"/>
    <n v="0"/>
    <n v="0"/>
    <n v="0"/>
    <n v="0"/>
    <n v="0"/>
    <n v="0"/>
    <n v="0"/>
    <n v="0"/>
    <m/>
    <n v="2.5"/>
    <n v="0"/>
    <n v="0"/>
    <n v="0"/>
    <n v="2.5"/>
    <n v="0"/>
    <m/>
    <s v="Toussaint"/>
    <m/>
    <s v="De omnimoda juridictione castri Devesseti"/>
    <s v="Devesset, in turre supra portam"/>
    <s v="Girandus Girandi de Pulinaco"/>
    <s v="Peyruchono del Trenole"/>
    <s v="Petro Carlonis de Sancto Agrippano"/>
    <s v="Stephano Solherii de Hereone"/>
    <m/>
    <m/>
    <m/>
  </r>
  <r>
    <n v="1332"/>
    <m/>
    <s v="Petrus et Laurentius"/>
    <s v="Duneria"/>
    <s v="Ruppe"/>
    <m/>
    <s v="Fratres"/>
    <s v="Martine uxor Petri"/>
    <s v="G"/>
    <n v="1343"/>
    <x v="2"/>
    <n v="12"/>
    <s v="Raynaud de Fay"/>
    <s v="Homo-licgius, justitabilis et expletabilis"/>
    <m/>
    <s v="Non"/>
    <s v="Oui"/>
    <s v="Oui"/>
    <s v="Oui"/>
    <s v="Non"/>
    <m/>
    <m/>
    <n v="1"/>
    <n v="2"/>
    <s v="Oui"/>
    <s v="Non"/>
    <s v="Oui"/>
    <s v="Non"/>
    <s v="Oui"/>
    <s v="Oui"/>
    <s v="Non"/>
    <s v="Non"/>
    <s v="Non"/>
    <s v="Non"/>
    <s v="Non"/>
    <s v="Non"/>
    <s v="Non"/>
    <n v="1"/>
    <n v="1"/>
    <s v="Non"/>
    <s v="Non"/>
    <n v="12"/>
    <s v="Non"/>
    <s v="Non"/>
    <s v="Non"/>
    <s v="Non"/>
    <s v="Non"/>
    <s v="Non"/>
    <s v="Non"/>
    <s v="Non"/>
    <s v="Non"/>
    <s v="Non"/>
    <s v="Non"/>
    <s v="Non"/>
    <s v="Non"/>
    <s v="Non"/>
    <s v="Non"/>
    <s v="Non"/>
    <s v="Non"/>
    <s v="Non"/>
    <s v="Non"/>
    <s v="Non"/>
    <s v="Non"/>
    <s v="Non"/>
    <m/>
    <s v="12 petiae + 6 prati + 2 orti + 1 domum + 1 ouchia + 1 garaitum + 1 nemus + possessiones Martine uxor Petri"/>
    <s v="Territorio de Ruppe"/>
    <s v="Femme"/>
    <s v="Mesure non précisée"/>
    <n v="0.5"/>
    <n v="0"/>
    <n v="0"/>
    <n v="0"/>
    <n v="0"/>
    <n v="0"/>
    <n v="5"/>
    <n v="1"/>
    <n v="0"/>
    <n v="0.5"/>
    <n v="0"/>
    <n v="27.421875"/>
    <n v="0"/>
    <n v="0"/>
    <n v="1"/>
    <n v="0.5"/>
    <n v="1"/>
    <n v="0"/>
    <n v="0"/>
    <n v="0"/>
    <n v="15.84375"/>
    <n v="0"/>
    <n v="0"/>
    <n v="0"/>
    <n v="0"/>
    <n v="0"/>
    <s v="Pethegnes dicti loci + Censu de Pupart + possessiones Martine uxor Petri"/>
    <n v="8.1666666666666661"/>
    <n v="1"/>
    <n v="0"/>
    <n v="0.5"/>
    <n v="8.2187499999999982"/>
    <n v="0"/>
    <s v="Censu et talha"/>
    <m/>
    <s v="Mero et mixto imperio"/>
    <s v="De mandamentum et juridictione domus Devesseti"/>
    <s v="Devesset, in turre supra portam"/>
    <s v="Girandus Girandi de Pulinaco"/>
    <m/>
    <m/>
    <m/>
    <m/>
    <m/>
    <m/>
  </r>
  <r>
    <n v="191"/>
    <m/>
    <s v="Johaneta"/>
    <s v="Fabii"/>
    <s v="Chalmariais"/>
    <m/>
    <s v="Uxor Guillermi Fabii de Chalmariais"/>
    <m/>
    <s v="F"/>
    <n v="1342"/>
    <x v="5"/>
    <n v="18"/>
    <s v="Raynaud de Fay"/>
    <s v="Mulier-licgia, justitabilis et expletabilis"/>
    <s v="Talhabilis ad omnimodas voluntatis"/>
    <s v="Non"/>
    <s v="Oui"/>
    <s v="Oui"/>
    <s v="Oui"/>
    <s v="Non"/>
    <m/>
    <m/>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Domum + ortum"/>
    <m/>
    <m/>
    <m/>
    <n v="0.5"/>
    <n v="0"/>
    <n v="0"/>
    <n v="0"/>
    <n v="0"/>
    <n v="0"/>
    <n v="0"/>
    <n v="0"/>
    <n v="0"/>
    <n v="0"/>
    <n v="0"/>
    <n v="0"/>
    <n v="0"/>
    <n v="0"/>
    <n v="0"/>
    <n v="0"/>
    <n v="0"/>
    <n v="0"/>
    <n v="0"/>
    <n v="0"/>
    <n v="0"/>
    <n v="0"/>
    <n v="0"/>
    <n v="0"/>
    <n v="0"/>
    <n v="0"/>
    <m/>
    <n v="0"/>
    <n v="0"/>
    <n v="0"/>
    <n v="0"/>
    <n v="0"/>
    <n v="0"/>
    <m/>
    <s v="Toussaint"/>
    <m/>
    <m/>
    <s v="Devesset, in turre supra portam"/>
    <s v="Girandus Girandi de Pulinaco"/>
    <s v="Fratre Johanne Meruli ordinis Sancti Johanis Jherosolimitani"/>
    <s v="Thoma Chanbonane"/>
    <m/>
    <m/>
    <m/>
    <m/>
  </r>
  <r>
    <n v="721"/>
    <s v="Marge illisible"/>
    <s v="Petrus"/>
    <s v="Faureti"/>
    <s v="Chanclausa"/>
    <m/>
    <m/>
    <m/>
    <s v="H"/>
    <n v="1343"/>
    <x v="6"/>
    <n v="13"/>
    <s v="Raynaud de Fay"/>
    <s v="Mulier-licgia, justitabilis et expletabilis"/>
    <s v="Talhabilis ad omnimodas voluntatis"/>
    <s v="Non"/>
    <s v="Oui"/>
    <s v="Oui"/>
    <s v="Oui"/>
    <s v="Non"/>
    <s v="Avec bœufs et animaux"/>
    <s v="Contractus emphiteotitarii"/>
    <n v="1"/>
    <n v="1"/>
    <s v="Oui"/>
    <s v="Non"/>
    <s v="Non"/>
    <s v="Non"/>
    <s v="Oui"/>
    <s v="Non"/>
    <s v="Non"/>
    <s v="Non"/>
    <s v="Non"/>
    <s v="Non"/>
    <s v="Non"/>
    <s v="Non"/>
    <s v="Non"/>
    <s v="Non"/>
    <s v="Non"/>
    <s v="Non"/>
    <s v="Non"/>
    <s v="Non"/>
    <s v="Non"/>
    <s v="Non"/>
    <s v="Non"/>
    <s v="Non"/>
    <s v="Non"/>
    <s v="Non"/>
    <s v="Non"/>
    <s v="Non"/>
    <s v="Non"/>
    <s v="Non"/>
    <s v="Non"/>
    <s v="Non"/>
    <s v="Non"/>
    <s v="Non"/>
    <s v="Non"/>
    <s v="Non"/>
    <s v="Non"/>
    <s v="Non"/>
    <s v="Non"/>
    <s v="Non"/>
    <s v="Non"/>
    <s v="Non"/>
    <m/>
    <s v="Domum + prata + pasturalia"/>
    <m/>
    <m/>
    <s v="Fay"/>
    <n v="0.5"/>
    <n v="0"/>
    <n v="0"/>
    <n v="0"/>
    <n v="0"/>
    <n v="0"/>
    <n v="1.5"/>
    <n v="0"/>
    <n v="0"/>
    <n v="0"/>
    <n v="0"/>
    <n v="7.3125"/>
    <n v="0"/>
    <n v="0"/>
    <n v="1.5"/>
    <n v="0"/>
    <n v="0"/>
    <n v="0"/>
    <n v="0"/>
    <n v="0"/>
    <n v="7.3125"/>
    <n v="0"/>
    <n v="0"/>
    <n v="0"/>
    <n v="0"/>
    <n v="0"/>
    <m/>
    <n v="1.6666666666666667"/>
    <n v="0"/>
    <n v="0"/>
    <n v="0"/>
    <n v="1.6666666666666667"/>
    <n v="0"/>
    <m/>
    <s v="Toussaint"/>
    <m/>
    <s v="De juridictione et dominatione castri seu domus Devesseti"/>
    <s v="Devesset, in turre supra portam"/>
    <s v="Girandus Girandi de Pulinaco"/>
    <s v="Fratre Johane Meruli"/>
    <s v="Eustachio de Quinteo clericus de Malagayta"/>
    <s v="Johane de Malagayta"/>
    <m/>
    <m/>
    <s v="In quadam compositione olim facta inter dominum aniciensis episcopum et domum Devesseti"/>
  </r>
  <r>
    <n v="142"/>
    <m/>
    <s v="Girandus"/>
    <s v="Fayni"/>
    <s v="Chalmariais"/>
    <m/>
    <m/>
    <m/>
    <s v="H"/>
    <n v="1342"/>
    <x v="5"/>
    <n v="17"/>
    <s v="Raynaud de Fay"/>
    <s v="Homo-licgius, justitabilis et expletabilis"/>
    <s v="Talhabilis ad omnimodas voluntatis"/>
    <s v="Non"/>
    <s v="Oui"/>
    <s v="Oui"/>
    <s v="Oui"/>
    <s v="Non"/>
    <m/>
    <m/>
    <s v="Oui"/>
    <s v="Oui"/>
    <s v="Oui"/>
    <s v="Oui"/>
    <s v="Oui"/>
    <s v="Oui"/>
    <s v="Oui"/>
    <s v="Non"/>
    <s v="Non"/>
    <s v="Oui"/>
    <n v="1"/>
    <s v="Oui"/>
    <s v="Non"/>
    <s v="Non"/>
    <s v="Non"/>
    <s v="Non"/>
    <s v="Non"/>
    <s v="Non"/>
    <s v="Non"/>
    <s v="Non"/>
    <s v="Non"/>
    <s v="Non"/>
    <s v="Non"/>
    <s v="Non"/>
    <s v="Non"/>
    <s v="Non"/>
    <s v="Non"/>
    <s v="Non"/>
    <s v="Non"/>
    <s v="Non"/>
    <s v="Non"/>
    <s v="Non"/>
    <s v="Non"/>
    <s v="Non"/>
    <s v="Non"/>
    <s v="Non"/>
    <s v="Non"/>
    <s v="Non"/>
    <s v="Non"/>
    <s v="Non"/>
    <s v="Non"/>
    <s v="Oui"/>
    <m/>
    <s v="Possessiones + terra + pasturalia"/>
    <s v="Loco et territorio de Chalmariais"/>
    <m/>
    <s v="Tence"/>
    <n v="1.5"/>
    <n v="0"/>
    <n v="0"/>
    <n v="0"/>
    <n v="0"/>
    <n v="0"/>
    <n v="8"/>
    <n v="0"/>
    <n v="0"/>
    <n v="0"/>
    <n v="0"/>
    <n v="39"/>
    <n v="1"/>
    <n v="0"/>
    <n v="1"/>
    <n v="0"/>
    <n v="0"/>
    <n v="0"/>
    <n v="0"/>
    <n v="0"/>
    <n v="43.875"/>
    <n v="0"/>
    <n v="0"/>
    <n v="0"/>
    <n v="0"/>
    <n v="0"/>
    <s v="Baylhagio + terra et pasturalia"/>
    <n v="14.833333333333334"/>
    <n v="0"/>
    <n v="0"/>
    <n v="0"/>
    <n v="14.833333333333334"/>
    <n v="0"/>
    <s v="Censu et talha"/>
    <s v="Toussaint"/>
    <s v="Merum et mixtum imperio"/>
    <s v="De mandamento et juridictione et infra mandamentum loci seu castri Devesseti"/>
    <s v="Devesset, in turre supra portam"/>
    <s v="Girandus Girandi de Pulinaco"/>
    <s v="Petro de Feudo presbitero"/>
    <s v="Heustachio de Quinccaco"/>
    <s v="Matheo Morelli"/>
    <m/>
    <m/>
    <m/>
  </r>
  <r>
    <n v="151"/>
    <m/>
    <s v="Jacobus"/>
    <s v="Fayni"/>
    <s v="Chalmariais"/>
    <m/>
    <m/>
    <s v="Nomine liberorum suorum"/>
    <s v="H"/>
    <n v="1342"/>
    <x v="5"/>
    <n v="17"/>
    <s v="Raynaud de Fay"/>
    <s v="Homo-licgius, justitabilis et expletabilis"/>
    <s v="Talhabilis ad omnimodas voluntatis"/>
    <s v="Non"/>
    <s v="Oui"/>
    <s v="Oui"/>
    <s v="Oui"/>
    <s v="Non"/>
    <s v="Avec bœufs et animaux"/>
    <m/>
    <s v="Oui"/>
    <s v="Oui"/>
    <s v="Oui"/>
    <s v="Oui"/>
    <s v="Non"/>
    <s v="Oui"/>
    <s v="Oui"/>
    <s v="Non"/>
    <s v="Oui"/>
    <s v="Oui"/>
    <n v="1"/>
    <s v="Oui"/>
    <s v="Non"/>
    <s v="Non"/>
    <s v="Non"/>
    <s v="Non"/>
    <s v="Non"/>
    <s v="Non"/>
    <s v="Non"/>
    <s v="Non"/>
    <s v="Non"/>
    <s v="Non"/>
    <s v="Non"/>
    <s v="Non"/>
    <s v="Non"/>
    <s v="Non"/>
    <s v="Non"/>
    <s v="Non"/>
    <s v="Non"/>
    <s v="Non"/>
    <s v="Non"/>
    <s v="Non"/>
    <s v="Non"/>
    <s v="Non"/>
    <s v="Non"/>
    <s v="Non"/>
    <s v="Non"/>
    <s v="Non"/>
    <s v="Non"/>
    <s v="Non"/>
    <s v="Non"/>
    <s v="Non"/>
    <m/>
    <s v="Domos + grangiam + prato + 2 possessiones"/>
    <s v="Manso et territorio de Chalmariais"/>
    <s v="Enfants"/>
    <s v="Tence"/>
    <n v="1.5"/>
    <n v="0"/>
    <n v="0"/>
    <n v="0"/>
    <n v="0"/>
    <n v="0"/>
    <n v="18"/>
    <n v="3"/>
    <n v="0"/>
    <n v="0"/>
    <n v="0"/>
    <n v="95.0625"/>
    <n v="0"/>
    <n v="0"/>
    <n v="16"/>
    <n v="0"/>
    <n v="0"/>
    <n v="0"/>
    <n v="0"/>
    <n v="0"/>
    <n v="78"/>
    <n v="0"/>
    <n v="0"/>
    <n v="0"/>
    <n v="0"/>
    <n v="0"/>
    <s v="Baylhagio + prato + 2 possessiones"/>
    <n v="24.083333333333336"/>
    <n v="0.33333333333333331"/>
    <n v="0"/>
    <n v="1"/>
    <n v="24.118055555555557"/>
    <n v="0"/>
    <s v="Censu et talha"/>
    <s v="Toussaint"/>
    <m/>
    <m/>
    <s v="Devesset, in turre supra portam"/>
    <s v="Girandus Girandi de Pulinaco"/>
    <s v="Petro de Feudo presbitero"/>
    <s v="Heustachio de Quinccaco"/>
    <s v="Matheo Morelli"/>
    <m/>
    <m/>
    <m/>
  </r>
  <r>
    <n v="1571"/>
    <s v="Marge illisible"/>
    <s v="Guillermis"/>
    <s v="Fonteti"/>
    <s v="Villa Nova Devesseti"/>
    <m/>
    <m/>
    <s v="Nomine Jacmete uxoris sue"/>
    <s v="H"/>
    <n v="1343"/>
    <x v="3"/>
    <n v="19"/>
    <s v="Raynaud de Fay"/>
    <s v="Mulier-licgia, justitabilis et expletabilis"/>
    <m/>
    <s v="Non"/>
    <s v="Oui"/>
    <s v="Oui"/>
    <s v="Oui"/>
    <s v="Non"/>
    <s v="Avec bœufs et animaux"/>
    <s v="Constractus emphiteotarii"/>
    <n v="1"/>
    <n v="1"/>
    <n v="1"/>
    <s v="Non"/>
    <s v="Non"/>
    <s v="Non"/>
    <n v="1"/>
    <s v="Non"/>
    <s v="Non"/>
    <s v="Non"/>
    <s v="Non"/>
    <s v="Non"/>
    <s v="Non"/>
    <s v="Non"/>
    <s v="Non"/>
    <s v="Non"/>
    <s v="Non"/>
    <s v="Non"/>
    <s v="Non"/>
    <n v="6"/>
    <s v="Non"/>
    <s v="Non"/>
    <s v="Non"/>
    <s v="Non"/>
    <s v="Non"/>
    <s v="Non"/>
    <s v="Non"/>
    <s v="Non"/>
    <s v="Non"/>
    <s v="Non"/>
    <s v="Non"/>
    <s v="Non"/>
    <s v="Non"/>
    <s v="Non"/>
    <s v="Non"/>
    <s v="Non"/>
    <s v="Non"/>
    <s v="Non"/>
    <s v="Non"/>
    <s v="Non"/>
    <s v="Non"/>
    <s v="Non"/>
    <m/>
    <s v="Domum + ortum + 6 petiam + possessiones + pratum + pasturale"/>
    <s v="Territorio et loco de la Valeta"/>
    <s v="Femme"/>
    <s v="Devesset"/>
    <n v="0.2"/>
    <n v="0"/>
    <n v="0"/>
    <n v="0"/>
    <n v="0"/>
    <n v="0"/>
    <n v="1"/>
    <n v="1"/>
    <n v="0"/>
    <n v="0"/>
    <n v="0"/>
    <n v="7.3125"/>
    <n v="0"/>
    <n v="0"/>
    <n v="0.5"/>
    <n v="0"/>
    <n v="0"/>
    <n v="0"/>
    <n v="0"/>
    <n v="0"/>
    <n v="2.4375"/>
    <n v="0"/>
    <n v="0"/>
    <n v="0"/>
    <n v="0"/>
    <n v="0"/>
    <m/>
    <n v="1.1666666666666667"/>
    <n v="0"/>
    <n v="0"/>
    <n v="0"/>
    <n v="1.1666666666666667"/>
    <n v="0"/>
    <s v="Censu et talha + nemore"/>
    <s v="Toussaint"/>
    <s v="Mero et mixto imperio"/>
    <s v="In mandamento et de mendamento juridictione castri Devesseti"/>
    <s v="Devesset, in turre supra portam"/>
    <s v="Girandus Girandi de Pulinaco"/>
    <s v="Johanne de Malatrait"/>
    <s v="Vitale de Lapaslissa de Ruppe Paula"/>
    <m/>
    <m/>
    <m/>
    <m/>
  </r>
  <r>
    <n v="1822"/>
    <m/>
    <s v="Girandus"/>
    <s v="Fores"/>
    <s v="Montelhet"/>
    <m/>
    <s v="Filius Stephani Fotes de Montelheto"/>
    <s v="Pro Johanne eius fratre et eius sororis"/>
    <s v="H"/>
    <n v="1344"/>
    <x v="3"/>
    <n v="15"/>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2 terre petiam"/>
    <m/>
    <s v="Frère et sœur"/>
    <s v="Devesset"/>
    <n v="0"/>
    <n v="0"/>
    <n v="0"/>
    <n v="0"/>
    <n v="0"/>
    <n v="0"/>
    <n v="0"/>
    <n v="0"/>
    <n v="0"/>
    <n v="0"/>
    <n v="0"/>
    <n v="0"/>
    <n v="0"/>
    <n v="0"/>
    <n v="1"/>
    <n v="0"/>
    <n v="0"/>
    <n v="0"/>
    <n v="0"/>
    <n v="0"/>
    <n v="4.875"/>
    <n v="0"/>
    <n v="0"/>
    <n v="0"/>
    <n v="0"/>
    <n v="0"/>
    <s v="2 partem terre"/>
    <n v="0"/>
    <n v="0"/>
    <n v="0"/>
    <n v="0"/>
    <n v="0"/>
    <n v="0"/>
    <m/>
    <s v="Toussaint"/>
    <m/>
    <m/>
    <s v="Devesset, in turre supra portam"/>
    <s v="Girandus Girandi de Pulinaco"/>
    <s v="Fratre Petro de Casalibus"/>
    <s v="Petro Martini de Hereone"/>
    <m/>
    <m/>
    <m/>
    <m/>
  </r>
  <r>
    <n v="1824"/>
    <m/>
    <s v="Johannes"/>
    <s v="Fores"/>
    <s v="Montelhet"/>
    <m/>
    <m/>
    <m/>
    <s v="H"/>
    <n v="1344"/>
    <x v="3"/>
    <n v="15"/>
    <s v="Raynaud de Fay"/>
    <m/>
    <m/>
    <m/>
    <m/>
    <m/>
    <m/>
    <m/>
    <m/>
    <s v="Constractus emphiteotarii"/>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Domum"/>
    <m/>
    <m/>
    <s v="Devesset"/>
    <n v="0"/>
    <n v="0"/>
    <n v="0"/>
    <n v="0"/>
    <n v="0"/>
    <n v="0"/>
    <n v="0"/>
    <n v="0"/>
    <n v="0"/>
    <n v="0"/>
    <n v="0"/>
    <n v="0"/>
    <n v="0"/>
    <n v="0"/>
    <n v="0.5"/>
    <n v="0"/>
    <n v="0"/>
    <n v="0"/>
    <n v="0"/>
    <n v="0"/>
    <n v="2.4375"/>
    <n v="0"/>
    <n v="0"/>
    <n v="0"/>
    <n v="0"/>
    <n v="0"/>
    <s v="Domum"/>
    <n v="0"/>
    <n v="0"/>
    <n v="0"/>
    <n v="0"/>
    <n v="0"/>
    <n v="0"/>
    <m/>
    <s v="Toussaint"/>
    <m/>
    <s v="De omnimoda juridictione castri Devesseti"/>
    <s v="Devesset, in turre supra portam"/>
    <s v="Girandus Girandi de Pulinaco"/>
    <s v="Fratre Petro de Casalibus"/>
    <s v="Petro Martini de Hereone"/>
    <m/>
    <m/>
    <m/>
    <m/>
  </r>
  <r>
    <n v="1823"/>
    <m/>
    <s v="Guillerma"/>
    <s v="Foresa"/>
    <s v="Montelhet"/>
    <m/>
    <m/>
    <m/>
    <s v="F"/>
    <n v="1344"/>
    <x v="3"/>
    <n v="15"/>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Terre petiam"/>
    <m/>
    <m/>
    <s v="Devesset"/>
    <n v="0"/>
    <n v="0"/>
    <n v="0"/>
    <n v="0"/>
    <n v="0"/>
    <n v="0"/>
    <n v="0"/>
    <n v="0"/>
    <n v="0"/>
    <n v="0"/>
    <n v="0"/>
    <n v="0"/>
    <n v="0"/>
    <n v="0"/>
    <n v="5"/>
    <n v="0"/>
    <n v="0"/>
    <n v="0"/>
    <n v="0"/>
    <n v="0"/>
    <n v="24.375"/>
    <n v="0"/>
    <n v="0"/>
    <n v="0"/>
    <n v="0"/>
    <n v="0"/>
    <s v="Terre petiam"/>
    <n v="0"/>
    <n v="0"/>
    <n v="0"/>
    <n v="0"/>
    <n v="0"/>
    <n v="0"/>
    <m/>
    <s v="Toussaint"/>
    <m/>
    <s v="De omnimoda juridictione castri Devesseti"/>
    <s v="Devesset, in turre supra portam"/>
    <s v="Girandus Girandi de Pulinaco"/>
    <s v="Fratre Petro de Casalibus"/>
    <s v="Petro Martini de Hereone"/>
    <m/>
    <m/>
    <m/>
    <m/>
  </r>
  <r>
    <n v="1751"/>
    <s v="Marge illisible"/>
    <s v="Caterina"/>
    <s v="Garaytona"/>
    <s v="Villa Nova Devesseti"/>
    <m/>
    <m/>
    <m/>
    <s v="F"/>
    <n v="1343"/>
    <x v="6"/>
    <n v="12"/>
    <s v="Raynaud de Fay"/>
    <s v="Mulier-licgia, justitabilis et expletabilis"/>
    <m/>
    <s v="Non"/>
    <s v="Oui"/>
    <s v="Oui"/>
    <s v="Oui"/>
    <s v="Non"/>
    <m/>
    <s v="Constractus emphiteotarii"/>
    <n v="1"/>
    <s v="Oui"/>
    <s v="Oui"/>
    <s v="Non"/>
    <s v="Non"/>
    <s v="Non"/>
    <s v="Oui"/>
    <n v="1"/>
    <s v="Non"/>
    <s v="Non"/>
    <s v="Non"/>
    <s v="Non"/>
    <s v="Non"/>
    <s v="Non"/>
    <s v="Non"/>
    <s v="Non"/>
    <s v="Non"/>
    <s v="Non"/>
    <s v="Non"/>
    <s v="Non"/>
    <s v="Non"/>
    <s v="Non"/>
    <s v="Non"/>
    <s v="Non"/>
    <s v="Non"/>
    <s v="Non"/>
    <s v="Non"/>
    <s v="Non"/>
    <s v="Non"/>
    <s v="Oui"/>
    <s v="Non"/>
    <s v="Non"/>
    <s v="Non"/>
    <s v="Non"/>
    <s v="Non"/>
    <s v="Non"/>
    <s v="Non"/>
    <s v="Non"/>
    <s v="Non"/>
    <s v="Non"/>
    <s v="Non"/>
    <s v="Non"/>
    <m/>
    <s v="Domum + 2 partem orti + partem pasturali + partem prati + pratum +  pasturale + terram Creycensa prato + arboribus ibidem cressentibus"/>
    <m/>
    <m/>
    <s v="Devesset"/>
    <n v="0.5"/>
    <n v="0"/>
    <n v="0"/>
    <n v="0"/>
    <n v="0"/>
    <n v="0"/>
    <n v="1.5"/>
    <n v="0"/>
    <n v="0"/>
    <n v="0"/>
    <n v="0"/>
    <n v="7.3125"/>
    <n v="0"/>
    <n v="0"/>
    <n v="1"/>
    <n v="0"/>
    <n v="0"/>
    <n v="0"/>
    <n v="0"/>
    <n v="0"/>
    <n v="4.875"/>
    <n v="0"/>
    <n v="0"/>
    <n v="0"/>
    <n v="0"/>
    <n v="0"/>
    <s v="Domum + Duos partarum ortarum + Partem prati et pasturali + Pratum et pasturale + terram + Creycensa prati et arboribus ibidem cressentibus"/>
    <n v="4.5"/>
    <n v="1.3333333333333333"/>
    <n v="0"/>
    <n v="0"/>
    <n v="4.5555555555555554"/>
    <n v="0"/>
    <s v="Censu et talha"/>
    <s v="Toussaint"/>
    <m/>
    <m/>
    <s v="Devesset, in turre supra portam"/>
    <s v="Girandus Girandi de Pulinaco"/>
    <s v="Fratre Arnaudo de Aystrat"/>
    <s v="Petro Salvaynh sive Paulet"/>
    <m/>
    <m/>
    <m/>
    <m/>
  </r>
  <r>
    <n v="1781"/>
    <m/>
    <s v="Johannes"/>
    <s v="Garaytoni"/>
    <s v="Malavalle"/>
    <s v="Habitator de Malavalle"/>
    <m/>
    <s v="Nomine Violete eius uxor de Mala Valle"/>
    <s v="H"/>
    <n v="1343"/>
    <x v="2"/>
    <n v="21"/>
    <s v="Raynaud de Fay"/>
    <s v="Promisit esse fidelis domui Devesseti"/>
    <m/>
    <m/>
    <m/>
    <m/>
    <m/>
    <m/>
    <m/>
    <s v="Constractus emphiteotarii"/>
    <s v="Non"/>
    <s v="Non"/>
    <s v="Non"/>
    <s v="Non"/>
    <n v="1"/>
    <s v="Non"/>
    <s v="Non"/>
    <s v="Non"/>
    <s v="Non"/>
    <s v="Non"/>
    <s v="Non"/>
    <s v="Non"/>
    <s v="Non"/>
    <s v="Non"/>
    <s v="Non"/>
    <s v="Non"/>
    <s v="Non"/>
    <s v="Non"/>
    <s v="Non"/>
    <s v="Non"/>
    <s v="Non"/>
    <s v="Non"/>
    <s v="Non"/>
    <s v="Non"/>
    <s v="Non"/>
    <s v="Non"/>
    <s v="Non"/>
    <s v="Non"/>
    <s v="Non"/>
    <s v="Non"/>
    <s v="Non"/>
    <s v="Non"/>
    <s v="Non"/>
    <s v="Non"/>
    <s v="Non"/>
    <s v="Non"/>
    <s v="Non"/>
    <s v="Non"/>
    <s v="Non"/>
    <s v="Non"/>
    <s v="Non"/>
    <s v="Non"/>
    <m/>
    <s v="Nemus"/>
    <m/>
    <m/>
    <s v="Devesset"/>
    <n v="0"/>
    <n v="0"/>
    <n v="0"/>
    <n v="0"/>
    <n v="0"/>
    <n v="0"/>
    <n v="0"/>
    <n v="1"/>
    <n v="0"/>
    <n v="0"/>
    <n v="0"/>
    <n v="2.4375"/>
    <n v="0"/>
    <n v="0"/>
    <n v="0"/>
    <n v="0"/>
    <n v="0"/>
    <n v="0"/>
    <n v="0"/>
    <n v="0"/>
    <n v="0"/>
    <n v="0"/>
    <n v="0"/>
    <n v="0"/>
    <n v="0"/>
    <n v="0"/>
    <s v="Nemus"/>
    <n v="0"/>
    <n v="0"/>
    <n v="0"/>
    <n v="0"/>
    <n v="0"/>
    <n v="0"/>
    <m/>
    <s v="Toussaint"/>
    <m/>
    <m/>
    <s v="Saint-Agrève, in carerra ante domum Guigonis de Ponte"/>
    <s v="Girandus Girandi de Pulinaco"/>
    <s v="Comme plus bas"/>
    <m/>
    <m/>
    <m/>
    <m/>
    <m/>
  </r>
  <r>
    <n v="541"/>
    <m/>
    <s v="Michael"/>
    <s v="Garnerii"/>
    <s v="Masalibrant"/>
    <m/>
    <m/>
    <m/>
    <s v="H"/>
    <n v="1343"/>
    <x v="0"/>
    <n v="23"/>
    <s v="Raynaud de Fay"/>
    <s v="Homo-licgius, justitabilis et expletabilis"/>
    <s v="Talhabilis ad omnimodas voluntatis"/>
    <s v="Non"/>
    <s v="Oui"/>
    <s v="Oui"/>
    <s v="Oui"/>
    <s v="Non"/>
    <s v="Avec bœufs et animaux"/>
    <s v="Contractus emphiteotitarii"/>
    <s v="Oui"/>
    <s v="Oui"/>
    <s v="Oui"/>
    <s v="Oui"/>
    <s v="Non"/>
    <s v="Oui"/>
    <s v="Oui"/>
    <s v="Non"/>
    <s v="Non"/>
    <s v="Non"/>
    <s v="Non"/>
    <s v="Oui"/>
    <s v="Non"/>
    <s v="Non"/>
    <s v="Non"/>
    <s v="Non"/>
    <s v="Non"/>
    <s v="Non"/>
    <s v="Non"/>
    <s v="Non"/>
    <s v="Non"/>
    <s v="Non"/>
    <s v="Non"/>
    <s v="Non"/>
    <s v="Non"/>
    <s v="Non"/>
    <s v="Non"/>
    <s v="Non"/>
    <s v="Non"/>
    <s v="Non"/>
    <s v="Non"/>
    <s v="Non"/>
    <s v="Non"/>
    <s v="Non"/>
    <s v="Non"/>
    <s v="Non"/>
    <s v="Non"/>
    <s v="Non"/>
    <s v="Non"/>
    <s v="Non"/>
    <s v="Non"/>
    <s v="Oui"/>
    <s v="Avec aquarum et curtibus"/>
    <m/>
    <s v="Loco et territorio de Masalibrant"/>
    <m/>
    <s v="Tence"/>
    <n v="1"/>
    <n v="0"/>
    <n v="0"/>
    <n v="0"/>
    <n v="2"/>
    <n v="0"/>
    <n v="0"/>
    <n v="0"/>
    <n v="1"/>
    <n v="0"/>
    <n v="0"/>
    <n v="87.75"/>
    <n v="0"/>
    <n v="0"/>
    <n v="5.5"/>
    <n v="0"/>
    <n v="0"/>
    <n v="0"/>
    <n v="0"/>
    <n v="0"/>
    <n v="26.8125"/>
    <n v="0"/>
    <n v="0"/>
    <n v="0"/>
    <n v="0"/>
    <n v="0"/>
    <m/>
    <n v="6"/>
    <n v="0"/>
    <n v="0"/>
    <n v="0"/>
    <n v="6"/>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1"/>
    <m/>
    <s v="Vitalis"/>
    <s v="Garnerii"/>
    <s v="Masalibrant"/>
    <m/>
    <m/>
    <m/>
    <s v="H"/>
    <n v="1343"/>
    <x v="0"/>
    <n v="23"/>
    <s v="Raynaud de Fay"/>
    <s v="Homo-licgius, justitabilis et expletabilis"/>
    <s v="Talhabilis ad omnimodas voluntatis"/>
    <s v="Non"/>
    <s v="Oui"/>
    <s v="Oui"/>
    <s v="Oui"/>
    <s v="Non"/>
    <s v="Avec bœufs et animaux"/>
    <s v="Contractus emphiteotitarii"/>
    <s v="Oui"/>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Masalibrant"/>
    <m/>
    <s v="Tence"/>
    <n v="0.33333333333333331"/>
    <n v="0"/>
    <n v="0"/>
    <n v="0"/>
    <n v="0"/>
    <n v="0"/>
    <n v="12"/>
    <n v="0"/>
    <n v="0"/>
    <n v="0"/>
    <n v="0"/>
    <n v="58.5"/>
    <n v="0"/>
    <n v="0"/>
    <n v="3.1666666666666665"/>
    <n v="0"/>
    <n v="0"/>
    <n v="0"/>
    <n v="0"/>
    <n v="0"/>
    <n v="15.4375"/>
    <n v="0"/>
    <n v="0"/>
    <n v="0"/>
    <n v="0"/>
    <n v="0"/>
    <m/>
    <n v="6.7777777777777777"/>
    <n v="0"/>
    <n v="0"/>
    <n v="0"/>
    <n v="6.7777777777777777"/>
    <n v="0"/>
    <s v="Censu et talha"/>
    <s v="Toussaint"/>
    <s v="De juridictine et senhoria"/>
    <s v="Castri Devesseti"/>
    <s v="Devesset, in turre supra portam"/>
    <s v="Girandus Girandi de Pulinaco"/>
    <s v="Domino Johane Armandi presbitero"/>
    <s v="Bernardo de Ruppe clerico"/>
    <s v="Petro de Bonafonte"/>
    <m/>
    <m/>
    <s v="In quadam compositione olim facta inter dominum aniciensis episcopum et domum Devesseti"/>
  </r>
  <r>
    <n v="552"/>
    <m/>
    <s v="Johanne"/>
    <s v="Garnerii"/>
    <s v="Masalibrant"/>
    <m/>
    <m/>
    <m/>
    <s v="H"/>
    <n v="1343"/>
    <x v="10"/>
    <n v="18"/>
    <s v="Raynaud de Fay"/>
    <s v="Homo-licgius, justitabilis et expletabilis"/>
    <s v="Talhabilis ad omnimodas voluntatis"/>
    <s v="Non"/>
    <s v="Oui"/>
    <s v="Oui"/>
    <s v="Oui"/>
    <s v="Non"/>
    <s v="Avec bœufs et animaux"/>
    <s v="Contractus emphiteotitarii"/>
    <s v="Oui"/>
    <s v="Oui"/>
    <s v="Oui"/>
    <s v="Oui"/>
    <s v="Non"/>
    <s v="Oui"/>
    <s v="Oui"/>
    <s v="Non"/>
    <s v="Oui"/>
    <s v="Non"/>
    <s v="Non"/>
    <s v="Oui"/>
    <s v="Non"/>
    <s v="Non"/>
    <s v="Non"/>
    <s v="Non"/>
    <s v="Non"/>
    <s v="Non"/>
    <s v="Non"/>
    <s v="Non"/>
    <s v="Non"/>
    <s v="Non"/>
    <s v="Non"/>
    <s v="Non"/>
    <s v="Non"/>
    <s v="Non"/>
    <s v="Non"/>
    <s v="Non"/>
    <s v="Non"/>
    <s v="Non"/>
    <s v="Non"/>
    <s v="Non"/>
    <s v="Non"/>
    <s v="Non"/>
    <s v="Non"/>
    <s v="Non"/>
    <s v="Non"/>
    <s v="Non"/>
    <s v="Non"/>
    <s v="Non"/>
    <s v="Non"/>
    <s v="Oui"/>
    <m/>
    <m/>
    <s v="Loco et territorio de Masalibrant"/>
    <m/>
    <s v="Tence"/>
    <n v="0.2"/>
    <n v="0"/>
    <n v="0"/>
    <n v="0"/>
    <n v="0"/>
    <n v="1"/>
    <n v="0"/>
    <n v="0"/>
    <n v="0"/>
    <n v="0"/>
    <n v="0"/>
    <n v="19.5"/>
    <n v="0"/>
    <n v="0"/>
    <n v="1.1000000000000001"/>
    <n v="0"/>
    <n v="0"/>
    <n v="0"/>
    <n v="0"/>
    <n v="0"/>
    <n v="5.3625000000000007"/>
    <n v="0"/>
    <n v="0"/>
    <n v="0"/>
    <n v="0"/>
    <n v="0"/>
    <m/>
    <n v="2.2666666666666666"/>
    <n v="0"/>
    <n v="0"/>
    <n v="0"/>
    <n v="2.2666666666666666"/>
    <n v="0"/>
    <s v="Censu et talha"/>
    <s v="Toussaint"/>
    <m/>
    <s v="Castri Devesseti"/>
    <s v="Devesset"/>
    <s v="Girandus Girandi de Pulinaco"/>
    <s v="Johane de Craseto"/>
    <s v="Guillermo de Craseto (son fils)"/>
    <m/>
    <m/>
    <m/>
    <s v="In quadam compositione olim facta inter dominum aniciensis episcopum et domum Devesseti"/>
  </r>
  <r>
    <n v="1845"/>
    <m/>
    <s v="Marteta "/>
    <s v="Girarda"/>
    <s v="Masalibrant"/>
    <m/>
    <m/>
    <m/>
    <s v="F"/>
    <n v="1343"/>
    <x v="3"/>
    <n v="23"/>
    <s v="Raynaud de Fay"/>
    <s v="Mulier-licgia, justitabilis et expletabilis"/>
    <m/>
    <s v="Non"/>
    <s v="Oui"/>
    <s v="Non"/>
    <s v="Oui"/>
    <s v="Non"/>
    <m/>
    <m/>
    <n v="1"/>
    <s v="Oui"/>
    <s v="Oui"/>
    <s v="Oui"/>
    <s v="Oui"/>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Masalibrant"/>
    <m/>
    <s v="Tence"/>
    <n v="0"/>
    <n v="0"/>
    <n v="0"/>
    <n v="0"/>
    <n v="0"/>
    <n v="0"/>
    <n v="5"/>
    <n v="0"/>
    <n v="0"/>
    <n v="0"/>
    <n v="0"/>
    <n v="24.375"/>
    <n v="0"/>
    <n v="0"/>
    <n v="1.5"/>
    <n v="0"/>
    <n v="0"/>
    <n v="0"/>
    <n v="0"/>
    <n v="0"/>
    <n v="7.3125"/>
    <n v="0"/>
    <n v="0"/>
    <n v="0"/>
    <n v="0"/>
    <n v="0"/>
    <m/>
    <n v="3.25"/>
    <n v="1"/>
    <n v="0"/>
    <n v="0"/>
    <n v="3.2916666666666665"/>
    <n v="0"/>
    <m/>
    <s v="Toussaint"/>
    <m/>
    <m/>
    <s v="Devesset, in turre supra portam"/>
    <s v="Girandus Girandi de Pulinaco"/>
    <s v="Bernardo de Ruppe clerico"/>
    <s v="Fratre Petro de Casalibus"/>
    <m/>
    <m/>
    <m/>
    <m/>
  </r>
  <r>
    <n v="671"/>
    <m/>
    <s v="Michael"/>
    <s v="Girardi"/>
    <s v="Masalibrant"/>
    <m/>
    <m/>
    <m/>
    <s v="H"/>
    <n v="1343"/>
    <x v="0"/>
    <n v="29"/>
    <s v="Raynaud de Fay"/>
    <s v="Homo-licgius, justitabilis et expletabilis"/>
    <s v="Talhabilis ad omnimodas voluntatis"/>
    <s v="Non"/>
    <s v="Oui"/>
    <s v="Oui"/>
    <s v="Oui"/>
    <s v="Non"/>
    <s v="Avec bœufs et animaux"/>
    <s v="Contractus emphiteotitarii"/>
    <s v="Oui"/>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Oui"/>
    <m/>
    <s v="Domos + possessiones"/>
    <s v="Loco et territorio de Masalibrant"/>
    <s v="Femme"/>
    <s v="Tence"/>
    <n v="1"/>
    <n v="0"/>
    <n v="0"/>
    <n v="0"/>
    <n v="0"/>
    <n v="0"/>
    <n v="14"/>
    <n v="0"/>
    <n v="0"/>
    <n v="0"/>
    <n v="0"/>
    <n v="68.25"/>
    <n v="0"/>
    <n v="0"/>
    <n v="5"/>
    <n v="0.25"/>
    <n v="0"/>
    <n v="0"/>
    <n v="0"/>
    <n v="0"/>
    <n v="24.984375"/>
    <n v="0"/>
    <n v="0"/>
    <n v="0"/>
    <n v="0"/>
    <n v="0"/>
    <s v="Possessiones eius uxoris"/>
    <n v="9.6666666666666661"/>
    <n v="1"/>
    <n v="0"/>
    <n v="0"/>
    <n v="9.7083333333333321"/>
    <n v="0"/>
    <m/>
    <s v="Toussaint"/>
    <m/>
    <s v="De juridictione castri Devesseti"/>
    <s v="Devesset, in turre supra portam"/>
    <s v="Girandus Girandi de Pulinaco"/>
    <s v="Matheo Morelli Ruppe Paula"/>
    <s v="Petrus Porronis"/>
    <s v="Dompnino de Lasruschas"/>
    <m/>
    <m/>
    <s v="In quadam compositione olim facta inter dominum aniciensis episcopum et domum Devesseti"/>
  </r>
  <r>
    <n v="681"/>
    <m/>
    <s v="Petrus"/>
    <s v="Girardi"/>
    <s v="Masalibrant"/>
    <m/>
    <m/>
    <m/>
    <s v="H"/>
    <n v="1343"/>
    <x v="0"/>
    <n v="29"/>
    <s v="Raynaud de Fay"/>
    <s v="Homo-licgius, justitabilis et expletabilis"/>
    <s v="Talhabilis ad omnimodas voluntatis"/>
    <s v="Non"/>
    <s v="Oui"/>
    <s v="Oui"/>
    <s v="Oui"/>
    <s v="Non"/>
    <m/>
    <m/>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Oui"/>
    <m/>
    <s v="Domum"/>
    <s v="Loco et territorio de Masalibrant"/>
    <m/>
    <s v="Tence"/>
    <n v="0.14285714285714285"/>
    <n v="0"/>
    <n v="0"/>
    <n v="0"/>
    <n v="0"/>
    <n v="0"/>
    <n v="5.5"/>
    <n v="0"/>
    <n v="0"/>
    <n v="0"/>
    <n v="0"/>
    <n v="26.8125"/>
    <n v="0"/>
    <n v="0"/>
    <n v="0.64285714285714279"/>
    <n v="1"/>
    <n v="1"/>
    <n v="0"/>
    <n v="0"/>
    <n v="0"/>
    <n v="15.321428571428571"/>
    <n v="0"/>
    <n v="0"/>
    <n v="0"/>
    <n v="0"/>
    <n v="0"/>
    <s v="Domo"/>
    <n v="3.25"/>
    <n v="0"/>
    <n v="0"/>
    <n v="0"/>
    <n v="3.25"/>
    <n v="0"/>
    <m/>
    <s v="Toussaint"/>
    <m/>
    <m/>
    <s v="Devesset, in turre supra portam"/>
    <s v="Girandus Girandi de Pulinaco"/>
    <s v="Matheo Morelli Ruppe Paula"/>
    <s v="Dompnino de Lasruschas"/>
    <s v="Petrus Porronis"/>
    <m/>
    <m/>
    <m/>
  </r>
  <r>
    <n v="1127"/>
    <m/>
    <s v="Guillermus"/>
    <s v="Girardi"/>
    <s v="Gorgoras"/>
    <m/>
    <m/>
    <m/>
    <s v="H"/>
    <n v="1343"/>
    <x v="8"/>
    <n v="29"/>
    <s v="Raynaud de Fay"/>
    <m/>
    <m/>
    <m/>
    <m/>
    <m/>
    <m/>
    <m/>
    <m/>
    <m/>
    <m/>
    <m/>
    <m/>
    <m/>
    <m/>
    <m/>
    <m/>
    <m/>
    <m/>
    <m/>
    <m/>
    <m/>
    <m/>
    <m/>
    <m/>
    <m/>
    <m/>
    <m/>
    <m/>
    <m/>
    <m/>
    <m/>
    <m/>
    <m/>
    <m/>
    <m/>
    <m/>
    <m/>
    <m/>
    <m/>
    <m/>
    <m/>
    <m/>
    <m/>
    <m/>
    <m/>
    <m/>
    <m/>
    <m/>
    <m/>
    <m/>
    <m/>
    <m/>
    <m/>
    <m/>
    <m/>
    <s v="Pas mesure indiquée, mais probablement Borzezam"/>
    <n v="0"/>
    <n v="0"/>
    <n v="0"/>
    <n v="0"/>
    <n v="0"/>
    <n v="0"/>
    <n v="8.3333333333333329E-2"/>
    <n v="1"/>
    <n v="0"/>
    <n v="0"/>
    <n v="0"/>
    <n v="2.84375"/>
    <n v="0"/>
    <n v="0"/>
    <n v="8.3333333333333329E-2"/>
    <n v="1"/>
    <n v="0"/>
    <n v="0"/>
    <n v="0"/>
    <n v="0"/>
    <n v="2.84375"/>
    <n v="0"/>
    <n v="0"/>
    <n v="0"/>
    <n v="0"/>
    <n v="0"/>
    <m/>
    <n v="0.16666666666666666"/>
    <n v="1"/>
    <n v="0"/>
    <n v="0"/>
    <n v="0.20833333333333331"/>
    <n v="0"/>
    <m/>
    <m/>
    <m/>
    <m/>
    <m/>
    <m/>
    <m/>
    <m/>
    <m/>
    <m/>
    <m/>
    <m/>
  </r>
  <r>
    <n v="182"/>
    <m/>
    <s v="Johannes"/>
    <s v="Giuilloneti"/>
    <s v="Chalmariais"/>
    <m/>
    <m/>
    <m/>
    <s v="H"/>
    <n v="1346"/>
    <x v="10"/>
    <n v="12"/>
    <s v="Raynaud de Fay"/>
    <m/>
    <m/>
    <m/>
    <m/>
    <m/>
    <m/>
    <m/>
    <m/>
    <s v="Contractus emphiteotitarii"/>
    <s v="Non"/>
    <s v="Non"/>
    <s v="Non"/>
    <s v="Non"/>
    <s v="Non"/>
    <s v="Non"/>
    <s v="Bayalam pasturali"/>
    <s v="Non"/>
    <s v="Non"/>
    <s v="Non"/>
    <s v="Non"/>
    <s v="Non"/>
    <s v="Non"/>
    <s v="Non"/>
    <s v="Non"/>
    <s v="Non"/>
    <s v="Non"/>
    <s v="Non"/>
    <s v="Non"/>
    <s v="Non"/>
    <s v="Non"/>
    <s v="Non"/>
    <n v="1"/>
    <s v="Non"/>
    <s v="Non"/>
    <s v="Non"/>
    <s v="Non"/>
    <s v="Non"/>
    <s v="Non"/>
    <s v="Non"/>
    <s v="Non"/>
    <s v="Non"/>
    <s v="Non"/>
    <s v="Non"/>
    <s v="Non"/>
    <s v="Non"/>
    <s v="Non"/>
    <s v="Non"/>
    <s v="Non"/>
    <s v="Non"/>
    <s v="Non"/>
    <s v="Non"/>
    <m/>
    <s v="Costam + Balayam pasturali + pasturali"/>
    <m/>
    <m/>
    <m/>
    <n v="0"/>
    <n v="0"/>
    <n v="0"/>
    <n v="0"/>
    <n v="0"/>
    <n v="0"/>
    <n v="0"/>
    <n v="0"/>
    <n v="0"/>
    <n v="0"/>
    <n v="0"/>
    <n v="0"/>
    <n v="0"/>
    <n v="0"/>
    <n v="0"/>
    <n v="0"/>
    <n v="0"/>
    <n v="0"/>
    <n v="0"/>
    <n v="0"/>
    <n v="0"/>
    <n v="0"/>
    <n v="0"/>
    <n v="0"/>
    <n v="0"/>
    <n v="0"/>
    <m/>
    <n v="5.083333333333333"/>
    <n v="0"/>
    <n v="0"/>
    <n v="0"/>
    <n v="5.083333333333333"/>
    <n v="0"/>
    <m/>
    <m/>
    <m/>
    <m/>
    <s v="Devesset"/>
    <m/>
    <s v="Domino Johane Armandi presbitero"/>
    <s v="Petro Coata de Crosti"/>
    <m/>
    <m/>
    <m/>
    <m/>
  </r>
  <r>
    <n v="221"/>
    <m/>
    <s v="Thomas"/>
    <s v="Jacobi"/>
    <s v="Chalmariais"/>
    <m/>
    <m/>
    <s v="Jonannete eius uxoris"/>
    <s v="H"/>
    <n v="1342"/>
    <x v="5"/>
    <n v="18"/>
    <s v="Raynaud de Fay"/>
    <s v="Homo-licgius, justitabilis et expletabilis"/>
    <s v="Talhabilis ad omnimodas voluntatis"/>
    <s v="Non"/>
    <s v="Oui"/>
    <s v="Oui"/>
    <s v="Oui"/>
    <s v="Non"/>
    <m/>
    <m/>
    <n v="2"/>
    <s v="Oui"/>
    <s v="Oui"/>
    <s v="Oui"/>
    <s v="Oui"/>
    <s v="Oui"/>
    <s v="Oui"/>
    <s v="Oui"/>
    <s v="Non"/>
    <s v="Oui"/>
    <s v="Non"/>
    <s v="Non"/>
    <s v="Non"/>
    <s v="Non"/>
    <s v="Non"/>
    <s v="Non"/>
    <s v="Non"/>
    <s v="Non"/>
    <s v="Non"/>
    <s v="Non"/>
    <s v="Non"/>
    <s v="Non"/>
    <s v="Non"/>
    <s v="Non"/>
    <s v="Non"/>
    <s v="Non"/>
    <s v="Non"/>
    <s v="Non"/>
    <s v="Non"/>
    <s v="Non"/>
    <s v="Non"/>
    <s v="Non"/>
    <s v="Non"/>
    <s v="Non"/>
    <s v="Non"/>
    <s v="Non"/>
    <s v="Non"/>
    <s v="Non"/>
    <s v="Non"/>
    <s v="Non"/>
    <s v="Non"/>
    <s v="Oui"/>
    <m/>
    <s v="Domum + baylhagio + pratum + domum eius uxoris + possessiones eius uxoris"/>
    <s v="Loco et territorio de Chalmariais"/>
    <s v="Femme"/>
    <s v="Tence"/>
    <n v="1"/>
    <n v="0"/>
    <n v="0"/>
    <n v="0"/>
    <n v="0"/>
    <n v="0"/>
    <n v="4"/>
    <n v="0"/>
    <n v="1"/>
    <n v="0"/>
    <n v="0"/>
    <n v="29.25"/>
    <n v="0"/>
    <n v="0"/>
    <n v="0"/>
    <n v="1"/>
    <n v="1"/>
    <n v="0"/>
    <n v="0"/>
    <n v="0"/>
    <n v="12.1875"/>
    <n v="0"/>
    <n v="0"/>
    <n v="0"/>
    <n v="0"/>
    <n v="0"/>
    <s v="Possessiones eius uxoris + baylhagio eius uxoris"/>
    <n v="6.333333333333333"/>
    <n v="0"/>
    <n v="0"/>
    <n v="0"/>
    <n v="6.333333333333333"/>
    <n v="0"/>
    <s v="Censu et talha"/>
    <s v="Toussaint"/>
    <s v="De mandamento et juridictione omnimoda"/>
    <s v="Castri seu loci de Chalmariais"/>
    <s v="Devesset, avant la porte du castrum"/>
    <s v="Girandus Girandi de Pulinaco"/>
    <s v="Fratre Johanne Meruli ordinis Sancti Johanis Jherosolimitani"/>
    <s v="Guillermo Boteria"/>
    <s v="Martino de Capella parochie Sancti Agreppavii"/>
    <m/>
    <m/>
    <m/>
  </r>
  <r>
    <n v="861"/>
    <m/>
    <s v="Guillermus"/>
    <s v="Lardayrol de Champahnac"/>
    <s v="Chanclausa"/>
    <m/>
    <m/>
    <m/>
    <s v="H"/>
    <n v="1343"/>
    <x v="1"/>
    <n v="29"/>
    <s v="Raynaud de Fay"/>
    <s v="Promisit esse fidelis tenementarius domus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66666666666666663"/>
    <n v="0"/>
    <n v="0"/>
    <n v="0"/>
    <n v="0.66666666666666663"/>
    <n v="0"/>
    <m/>
    <s v="Toussaint"/>
    <m/>
    <m/>
    <s v="Chanclausa, dans la maison de Johannis de Ponte sive Borola"/>
    <s v="Girandus Girandi de Pulinaco"/>
    <s v="Matheo Morelli subus de Ruppe Paula"/>
    <s v="Jacobo Morelli subus de Ruppe Paula"/>
    <s v="Petro Del Sapet"/>
    <m/>
    <m/>
    <m/>
  </r>
  <r>
    <n v="341"/>
    <s v="Page barrée et pas finie (vacat)"/>
    <s v="Matheus"/>
    <s v="Lo Bergeris"/>
    <s v="La Boscha"/>
    <m/>
    <m/>
    <m/>
    <s v="H"/>
    <n v="1343"/>
    <x v="0"/>
    <n v="2"/>
    <s v="Raynaud de Fay"/>
    <s v="Homo-licgius, justitabilis et expletabilis"/>
    <s v="Talhabilis et expletabilis"/>
    <s v="Non"/>
    <s v="Oui"/>
    <s v="Oui"/>
    <s v="Oui"/>
    <s v="Non"/>
    <s v="Avec bœufs et animaux"/>
    <s v="Contractus emphiteotitarii"/>
    <n v="1"/>
    <n v="1"/>
    <s v="Oui"/>
    <s v="Oui"/>
    <s v="Oui"/>
    <s v="Oui"/>
    <s v="Oui"/>
    <s v="Non"/>
    <s v="Non"/>
    <s v="Non"/>
    <s v="Non"/>
    <s v="Oui"/>
    <s v="Non"/>
    <s v="Non"/>
    <s v="Non"/>
    <s v="Oui"/>
    <s v="Non"/>
    <s v="Non"/>
    <s v="Non"/>
    <s v="Non"/>
    <s v="Non"/>
    <s v="Non"/>
    <s v="Non"/>
    <s v="Non"/>
    <s v="Non"/>
    <s v="Non"/>
    <s v="Non"/>
    <s v="Non"/>
    <s v="Non"/>
    <s v="Non"/>
    <s v="Non"/>
    <s v="Non"/>
    <s v="Non"/>
    <s v="Non"/>
    <s v="Non"/>
    <s v="Non"/>
    <s v="Non"/>
    <s v="Non"/>
    <s v="Non"/>
    <s v="Non"/>
    <s v="Non"/>
    <s v="Oui"/>
    <m/>
    <s v="Domum + possessiones"/>
    <m/>
    <s v="Femme"/>
    <s v="Tence"/>
    <n v="0.5"/>
    <n v="0"/>
    <n v="0"/>
    <n v="0"/>
    <n v="0"/>
    <n v="0"/>
    <n v="1.8333333333333333"/>
    <n v="0"/>
    <n v="0"/>
    <n v="0"/>
    <n v="0"/>
    <n v="8.9375"/>
    <n v="0"/>
    <n v="0"/>
    <n v="0"/>
    <n v="0"/>
    <n v="0"/>
    <n v="0"/>
    <n v="0"/>
    <n v="0"/>
    <n v="0"/>
    <n v="0"/>
    <n v="0"/>
    <n v="0"/>
    <n v="0"/>
    <n v="0"/>
    <s v="Baylliagio"/>
    <m/>
    <m/>
    <m/>
    <n v="0"/>
    <n v="0"/>
    <n v="0"/>
    <m/>
    <m/>
    <m/>
    <m/>
    <m/>
    <s v="Girandus Girandi de Pulinaco"/>
    <m/>
    <m/>
    <m/>
    <m/>
    <m/>
    <m/>
  </r>
  <r>
    <n v="1681"/>
    <m/>
    <s v="Guillermus"/>
    <s v="Lo Subs de Hereone"/>
    <s v="Lermet"/>
    <m/>
    <s v="Filius Nicholay de Hereone condam"/>
    <m/>
    <s v="H"/>
    <n v="1343"/>
    <x v="0"/>
    <n v="16"/>
    <s v="Raynaud de Fay"/>
    <s v="Promisit esse fidelis tenementarius domus Devesseti"/>
    <m/>
    <m/>
    <m/>
    <m/>
    <m/>
    <m/>
    <m/>
    <s v="Constractus emphiteotarii"/>
    <s v="Non"/>
    <s v="Non"/>
    <n v="1"/>
    <n v="1"/>
    <s v="Non"/>
    <s v="Non"/>
    <n v="2"/>
    <s v="Oui"/>
    <s v="Non"/>
    <s v="Non"/>
    <s v="Non"/>
    <s v="Non"/>
    <s v="Non"/>
    <s v="Non"/>
    <s v="Non"/>
    <s v="Non"/>
    <s v="Non"/>
    <s v="Non"/>
    <s v="Non"/>
    <s v="Non"/>
    <s v="Non"/>
    <s v="Non"/>
    <s v="Non"/>
    <s v="Non"/>
    <s v="Non"/>
    <s v="Non"/>
    <s v="Non"/>
    <s v="Non"/>
    <s v="Non"/>
    <s v="Non"/>
    <s v="Non"/>
    <s v="Non"/>
    <s v="Non"/>
    <s v="Non"/>
    <s v="Non"/>
    <s v="Non"/>
    <n v="1"/>
    <s v="Non"/>
    <s v="Non"/>
    <s v="Non"/>
    <s v="Non"/>
    <s v="Non"/>
    <m/>
    <s v="2 pasturale + bessetam + jus terre + pratum + terra + campum"/>
    <m/>
    <m/>
    <s v="Devesset"/>
    <n v="0"/>
    <n v="0"/>
    <n v="0"/>
    <n v="0"/>
    <n v="0"/>
    <n v="0"/>
    <n v="1"/>
    <n v="0"/>
    <n v="0"/>
    <n v="0"/>
    <n v="0"/>
    <n v="4.875"/>
    <n v="0"/>
    <n v="0"/>
    <n v="0"/>
    <n v="1.5"/>
    <n v="0"/>
    <n v="0"/>
    <n v="0"/>
    <n v="0"/>
    <n v="3.65625"/>
    <n v="0"/>
    <n v="0"/>
    <n v="0"/>
    <n v="0"/>
    <n v="0"/>
    <m/>
    <n v="1"/>
    <n v="0"/>
    <n v="0"/>
    <n v="0"/>
    <n v="1"/>
    <n v="0"/>
    <m/>
    <s v="Toussaint"/>
    <s v="Mero et mixto imperio"/>
    <s v="De mandamento et in mandamento et juridictione castri Devesseti"/>
    <s v="Devesset, sub estram"/>
    <s v="Girandus Girandi de Pulinaco"/>
    <s v="Petro de Ruppe"/>
    <s v="Al' Malpinha"/>
    <s v="Petri Aloayterii clerico"/>
    <m/>
    <m/>
    <m/>
  </r>
  <r>
    <n v="1463"/>
    <s v="Page dure à lire + finit au 1481"/>
    <s v="Blanchia"/>
    <s v="Maisonessa"/>
    <s v="Rilhac"/>
    <m/>
    <m/>
    <s v="Nomine Catarine eius sororis"/>
    <s v="F"/>
    <n v="1342"/>
    <x v="3"/>
    <s v="?"/>
    <s v="Raynaud de Fay"/>
    <s v="Mulier-licgia, justitabilis et expletabilis"/>
    <m/>
    <s v="Non"/>
    <s v="Oui"/>
    <s v="Oui"/>
    <s v="Oui"/>
    <s v="Non"/>
    <m/>
    <m/>
    <s v="Oui"/>
    <s v="Oui"/>
    <s v="Oui"/>
    <s v="Non"/>
    <s v="Oui"/>
    <s v="Non"/>
    <s v="Oui"/>
    <s v="Oui"/>
    <s v="Non"/>
    <s v="Non"/>
    <s v="Non"/>
    <s v="Oui"/>
    <s v="Non"/>
    <s v="Non"/>
    <s v="Non"/>
    <s v="Oui"/>
    <s v="Non"/>
    <s v="Non"/>
    <s v="Non"/>
    <s v="Non"/>
    <s v="Non"/>
    <s v="Non"/>
    <s v="Non"/>
    <s v="Non"/>
    <s v="Non"/>
    <s v="Non"/>
    <s v="Non"/>
    <s v="Non"/>
    <s v="Non"/>
    <s v="Non"/>
    <s v="Non"/>
    <s v="Non"/>
    <s v="Non"/>
    <s v="Non"/>
    <s v="Non"/>
    <s v="Non"/>
    <s v="Non"/>
    <s v="Non"/>
    <s v="Non"/>
    <s v="Non"/>
    <s v="Non"/>
    <s v="Oui"/>
    <m/>
    <s v="Domos"/>
    <s v="Territorio de Rilhac et de Ruppe"/>
    <s v="Sœur"/>
    <s v="Devesset"/>
    <n v="0.5"/>
    <n v="0"/>
    <n v="0"/>
    <n v="0"/>
    <n v="0"/>
    <n v="0"/>
    <n v="3"/>
    <n v="1"/>
    <n v="0"/>
    <n v="0"/>
    <n v="0"/>
    <n v="17.0625"/>
    <n v="0"/>
    <n v="0"/>
    <n v="1.5"/>
    <n v="0"/>
    <n v="0"/>
    <n v="0"/>
    <n v="0"/>
    <n v="0"/>
    <n v="7.3125"/>
    <n v="0"/>
    <n v="0"/>
    <n v="0"/>
    <n v="0"/>
    <n v="0"/>
    <m/>
    <n v="3.5833333333333335"/>
    <n v="1"/>
    <n v="0"/>
    <n v="0"/>
    <n v="3.625"/>
    <n v="0"/>
    <s v="Censu et talha"/>
    <m/>
    <s v="Mero et mixto imperio"/>
    <s v="De mandamento et in mandamentum et de juridictione castri Devesseti"/>
    <m/>
    <m/>
    <m/>
    <m/>
    <m/>
    <m/>
    <m/>
    <m/>
  </r>
  <r>
    <n v="1462"/>
    <m/>
    <s v="Michael"/>
    <s v="Maisonitz"/>
    <s v="Rilhac"/>
    <m/>
    <m/>
    <s v="Nomine Stephani eius fratris"/>
    <s v="H"/>
    <n v="1342"/>
    <x v="3"/>
    <s v="?"/>
    <s v="Raynaud de Fay"/>
    <s v="Homo-licgius, justitabilis et expletabilis"/>
    <m/>
    <s v="Non"/>
    <s v="Oui"/>
    <s v="Oui"/>
    <s v="Oui"/>
    <s v="Non"/>
    <s v="Avec bœufs et animaux"/>
    <m/>
    <s v="Oui"/>
    <s v="Oui"/>
    <s v="Oui"/>
    <s v="Oui"/>
    <s v="Oui"/>
    <s v="Non"/>
    <s v="Oui"/>
    <s v="Non"/>
    <s v="Non"/>
    <s v="Non"/>
    <s v="Non"/>
    <s v="Oui"/>
    <s v="Non"/>
    <s v="Non"/>
    <s v="Non"/>
    <s v="Non"/>
    <s v="Non"/>
    <s v="Non"/>
    <s v="Non"/>
    <s v="Non"/>
    <s v="Non"/>
    <s v="Non"/>
    <s v="Non"/>
    <s v="Non"/>
    <s v="Non"/>
    <s v="Non"/>
    <s v="Non"/>
    <s v="Non"/>
    <s v="Non"/>
    <s v="Non"/>
    <s v="Non"/>
    <s v="Non"/>
    <s v="Non"/>
    <s v="Non"/>
    <s v="Non"/>
    <s v="Non"/>
    <s v="Non"/>
    <s v="Non"/>
    <s v="Non"/>
    <s v="Non"/>
    <s v="Non"/>
    <s v="Oui"/>
    <m/>
    <s v="Domos"/>
    <s v="Tenemento seu loco de Rilhac"/>
    <s v="Frère"/>
    <s v="Devesset"/>
    <n v="0.5"/>
    <n v="0"/>
    <n v="0"/>
    <n v="0"/>
    <n v="0"/>
    <n v="0"/>
    <n v="3"/>
    <n v="1"/>
    <n v="0"/>
    <n v="0"/>
    <n v="0"/>
    <n v="17.0625"/>
    <n v="0"/>
    <n v="0"/>
    <n v="1.5"/>
    <n v="0"/>
    <n v="0"/>
    <n v="0"/>
    <n v="0"/>
    <n v="0"/>
    <n v="7.3125"/>
    <n v="0"/>
    <n v="0"/>
    <n v="0"/>
    <n v="0"/>
    <n v="0"/>
    <m/>
    <n v="3.5833333333333335"/>
    <n v="1"/>
    <n v="0"/>
    <n v="0"/>
    <n v="3.625"/>
    <n v="0"/>
    <s v="Censu et talha"/>
    <m/>
    <m/>
    <s v="In mandamentum et infra mandamentum juridictione domus Devesseti"/>
    <m/>
    <m/>
    <m/>
    <m/>
    <m/>
    <m/>
    <m/>
    <m/>
  </r>
  <r>
    <n v="171"/>
    <m/>
    <s v="Aprila"/>
    <s v="Marconis"/>
    <s v="Chalmariais"/>
    <m/>
    <s v="Filia Johanis Marconis de Chalmariais condam"/>
    <m/>
    <s v="F"/>
    <n v="1342"/>
    <x v="5"/>
    <n v="18"/>
    <s v="Raynaud de Fay"/>
    <s v="Mulier-licgia, justitabilis et expletabilis"/>
    <s v="Talhabilis et expletabilis ad omnimodas voluntatis"/>
    <s v="Non"/>
    <s v="Oui"/>
    <s v="Oui"/>
    <s v="Oui"/>
    <s v="Non"/>
    <m/>
    <m/>
    <s v="Non"/>
    <s v="Oui"/>
    <s v="Oui"/>
    <s v="Oui"/>
    <s v="Non"/>
    <s v="Oui"/>
    <s v="Oui"/>
    <s v="Non"/>
    <s v="Oui"/>
    <s v="Oui"/>
    <s v="Non"/>
    <s v="Non"/>
    <s v="Non"/>
    <s v="Non"/>
    <s v="Non"/>
    <s v="Non"/>
    <s v="Non"/>
    <s v="Non"/>
    <s v="Non"/>
    <s v="Non"/>
    <s v="Non"/>
    <s v="Non"/>
    <s v="Non"/>
    <s v="Non"/>
    <s v="Non"/>
    <s v="Non"/>
    <s v="Non"/>
    <s v="Non"/>
    <s v="Non"/>
    <s v="Non"/>
    <s v="Non"/>
    <s v="Non"/>
    <s v="Non"/>
    <s v="Non"/>
    <s v="Non"/>
    <s v="Non"/>
    <s v="Non"/>
    <s v="Non"/>
    <s v="Non"/>
    <s v="Non"/>
    <s v="Non"/>
    <s v="Oui"/>
    <s v="Quartam partem omnium rerum et possessionem quem fuerunt condam Johanis Marconis sive Despaetis eius patris"/>
    <s v="Baylhagio"/>
    <m/>
    <m/>
    <s v="Tence"/>
    <n v="0.16666666666666666"/>
    <n v="0"/>
    <n v="0"/>
    <n v="0"/>
    <n v="0"/>
    <n v="0"/>
    <n v="0.5"/>
    <n v="0"/>
    <n v="0"/>
    <n v="0"/>
    <n v="0"/>
    <n v="2.4375"/>
    <n v="0"/>
    <n v="0"/>
    <n v="0"/>
    <n v="3"/>
    <n v="0"/>
    <n v="0"/>
    <n v="0"/>
    <n v="0"/>
    <n v="7.3125"/>
    <n v="0"/>
    <n v="0"/>
    <n v="0"/>
    <n v="0"/>
    <n v="0"/>
    <m/>
    <n v="1.5"/>
    <n v="0"/>
    <n v="0"/>
    <n v="0"/>
    <n v="1.5"/>
    <n v="0"/>
    <m/>
    <s v="Toussaint"/>
    <s v="Merum et mixtum imperio"/>
    <s v="De mandato et infra mandamento et omnimoda juridictione loci de Chalmariais"/>
    <s v="Devesset, in turre supra portam"/>
    <s v="Girandus Girandi de Pulinaco"/>
    <s v="Johanne de Sancto Anthonio"/>
    <s v="Jacobo Chanbonandi"/>
    <s v="Michaele Chambonandi"/>
    <m/>
    <m/>
    <m/>
  </r>
  <r>
    <n v="261"/>
    <m/>
    <s v="Guilloneta"/>
    <s v="Marconis"/>
    <s v="Chalmariais"/>
    <m/>
    <s v="Uxor Laurentis Marsonis"/>
    <m/>
    <s v="F"/>
    <n v="1343"/>
    <x v="5"/>
    <n v="31"/>
    <s v="Renaud de Fay"/>
    <s v="Mulier-licgia, justitabilis et expletabilis"/>
    <s v="Talhabilis ad omnimodas voluntatis"/>
    <s v="Non"/>
    <s v="Oui"/>
    <s v="Oui"/>
    <s v="Oui"/>
    <s v="Non"/>
    <s v="Avec bœufs"/>
    <m/>
    <n v="1"/>
    <s v="Oui"/>
    <s v="Oui"/>
    <s v="Oui"/>
    <s v="Oui"/>
    <s v="Non"/>
    <s v="Oui"/>
    <s v="Oui"/>
    <s v="Non"/>
    <s v="Non"/>
    <s v="Non"/>
    <s v="Non"/>
    <s v="Non"/>
    <s v="Non"/>
    <s v="Non"/>
    <s v="Non"/>
    <s v="Non"/>
    <s v="Non"/>
    <s v="Non"/>
    <s v="Oui"/>
    <s v="Non"/>
    <s v="Non"/>
    <s v="Non"/>
    <s v="Non"/>
    <s v="Non"/>
    <s v="Non"/>
    <s v="Non"/>
    <s v="Non"/>
    <s v="Non"/>
    <s v="Non"/>
    <s v="Non"/>
    <s v="Non"/>
    <s v="Non"/>
    <s v="Non"/>
    <s v="Non"/>
    <s v="Non"/>
    <s v="Non"/>
    <s v="Non"/>
    <s v="Non"/>
    <s v="Non"/>
    <s v="Non"/>
    <s v="Oui"/>
    <m/>
    <s v="Petiarum"/>
    <s v="Chalmariais"/>
    <s v="Enfants"/>
    <s v="Tence"/>
    <n v="1.1666666666666667"/>
    <n v="0"/>
    <n v="0"/>
    <n v="0"/>
    <n v="0"/>
    <n v="0"/>
    <n v="3.8333333333333335"/>
    <n v="1"/>
    <n v="0"/>
    <n v="0"/>
    <n v="0"/>
    <n v="21.125000000000004"/>
    <n v="0"/>
    <n v="0"/>
    <n v="5.5"/>
    <n v="0"/>
    <n v="0"/>
    <n v="0"/>
    <n v="0"/>
    <n v="0"/>
    <n v="26.8125"/>
    <n v="0"/>
    <n v="0"/>
    <n v="0"/>
    <n v="0"/>
    <n v="0"/>
    <s v="Baylliagio"/>
    <n v="6.5"/>
    <n v="0"/>
    <n v="0"/>
    <n v="0"/>
    <n v="6.5"/>
    <n v="0"/>
    <s v="Censu et talha"/>
    <s v="Toussaint"/>
    <s v="Merum et mixtum imperium "/>
    <m/>
    <s v="Devesset, in turre supra portam"/>
    <s v="Girandus Girandi de Pulinaco"/>
    <s v="Metheus Morelli de Ruppepaula"/>
    <s v="Matheo Matinerii"/>
    <m/>
    <m/>
    <m/>
    <m/>
  </r>
  <r>
    <n v="1611"/>
    <m/>
    <s v="Petrus"/>
    <s v="Martini"/>
    <s v="Hereone"/>
    <m/>
    <m/>
    <m/>
    <s v="H"/>
    <n v="1343"/>
    <x v="0"/>
    <n v="4"/>
    <s v="Raynaud de Fay"/>
    <s v="Promisit esse fidelis castro Devesseti"/>
    <m/>
    <m/>
    <m/>
    <m/>
    <m/>
    <m/>
    <m/>
    <s v="Constractus emphiteotarii"/>
    <s v="Non"/>
    <s v="Non"/>
    <s v="Oui"/>
    <s v="Non"/>
    <s v="Non"/>
    <s v="Non"/>
    <n v="2"/>
    <s v="Oui"/>
    <s v="Non"/>
    <s v="Non"/>
    <s v="Non"/>
    <s v="Non"/>
    <s v="Non"/>
    <s v="Non"/>
    <s v="Non"/>
    <s v="Non"/>
    <s v="Non"/>
    <s v="Non"/>
    <s v="Non"/>
    <s v="Non"/>
    <s v="Non"/>
    <s v="Non"/>
    <s v="Non"/>
    <s v="Non"/>
    <s v="Non"/>
    <s v="Non"/>
    <s v="Non"/>
    <s v="Non"/>
    <s v="Non"/>
    <s v="Non"/>
    <s v="Non"/>
    <s v="Non"/>
    <s v="Non"/>
    <s v="Non"/>
    <s v="Non"/>
    <s v="Non"/>
    <s v="Non"/>
    <s v="Non"/>
    <s v="Non"/>
    <s v="Non"/>
    <s v="Non"/>
    <s v="Non"/>
    <m/>
    <s v="2 medietate petie terre + terra + 2 pasturale + medietate prati + medietate faycie + jus prati"/>
    <m/>
    <m/>
    <s v="Devesset"/>
    <n v="0"/>
    <n v="0"/>
    <n v="0"/>
    <n v="0"/>
    <n v="0"/>
    <n v="0"/>
    <n v="1.5"/>
    <n v="0.5"/>
    <n v="0"/>
    <n v="0"/>
    <n v="0"/>
    <n v="8.53125"/>
    <n v="0"/>
    <n v="0"/>
    <n v="0.5"/>
    <n v="0.5"/>
    <n v="0"/>
    <n v="0"/>
    <n v="0"/>
    <n v="0"/>
    <n v="3.65625"/>
    <n v="0"/>
    <n v="0"/>
    <n v="0"/>
    <n v="0"/>
    <n v="0"/>
    <m/>
    <n v="1.75"/>
    <n v="0"/>
    <n v="0"/>
    <n v="1"/>
    <n v="1.7708333333333333"/>
    <n v="0"/>
    <s v="Censu et talha + 2 nemus + prata"/>
    <s v="Toussaint"/>
    <s v="Mero et mixto imperio"/>
    <s v="De mandamento et infra mandamento et de juridictione castri Devesset"/>
    <s v="Devesset, in turre supra portam"/>
    <s v="Girandus Girandi de Pulinaco"/>
    <s v="Petro de Ruela"/>
    <s v="Johanne de Ruela"/>
    <m/>
    <m/>
    <m/>
    <m/>
  </r>
  <r>
    <n v="1293"/>
    <m/>
    <s v="Petrus"/>
    <s v="Masoerii de Vina Torto"/>
    <s v="Del Verne"/>
    <m/>
    <m/>
    <m/>
    <s v="H"/>
    <n v="1343"/>
    <x v="2"/>
    <n v="10"/>
    <s v="Raynaud de Fay"/>
    <s v="Promisit esse fidelis tenementarius domus Devesseti"/>
    <m/>
    <m/>
    <m/>
    <m/>
    <m/>
    <m/>
    <m/>
    <s v="Constractus emphiteotarii"/>
    <s v="Non"/>
    <s v="Non"/>
    <s v="Non"/>
    <s v="Non"/>
    <s v="Non"/>
    <s v="Non"/>
    <s v="Non"/>
    <n v="2"/>
    <s v="Non"/>
    <s v="Non"/>
    <s v="Non"/>
    <s v="Non"/>
    <s v="Non"/>
    <s v="Non"/>
    <s v="Non"/>
    <s v="Non"/>
    <s v="Non"/>
    <s v="Non"/>
    <s v="Non"/>
    <s v="Non"/>
    <s v="Non"/>
    <s v="Non"/>
    <s v="Non"/>
    <s v="Non"/>
    <s v="Non"/>
    <s v="Non"/>
    <s v="Non"/>
    <s v="Non"/>
    <s v="Non"/>
    <s v="Non"/>
    <s v="Non"/>
    <s v="Non"/>
    <s v="Non"/>
    <s v="Non"/>
    <s v="Non"/>
    <s v="Non"/>
    <s v="Non"/>
    <s v="Non"/>
    <s v="Non"/>
    <s v="Non"/>
    <s v="Non"/>
    <s v="Non"/>
    <m/>
    <s v="2 terre petiam"/>
    <m/>
    <m/>
    <s v="Rochebonne"/>
    <n v="0"/>
    <n v="0"/>
    <n v="0"/>
    <n v="0"/>
    <n v="0"/>
    <n v="0"/>
    <n v="1"/>
    <n v="0"/>
    <n v="0"/>
    <n v="0"/>
    <n v="0"/>
    <n v="4.875"/>
    <n v="0"/>
    <n v="0"/>
    <n v="0"/>
    <n v="0"/>
    <n v="0"/>
    <n v="0"/>
    <n v="0"/>
    <n v="0"/>
    <n v="0"/>
    <n v="0"/>
    <n v="0"/>
    <n v="0"/>
    <n v="0"/>
    <n v="0"/>
    <m/>
    <n v="0"/>
    <n v="0"/>
    <n v="0"/>
    <n v="0"/>
    <n v="0"/>
    <n v="0"/>
    <m/>
    <s v="Toussaint"/>
    <m/>
    <m/>
    <s v="Apud Avenas, in domo dicti Poncii"/>
    <s v="Girandus Girandi de Pulinaco"/>
    <s v="Fratre Johane Meruli"/>
    <s v="Guillermo Grosseti"/>
    <s v="Vitaloro filio Johannis Ruffi de Aymoneto de Sancto Agrippavio"/>
    <m/>
    <m/>
    <m/>
  </r>
  <r>
    <n v="1303"/>
    <m/>
    <s v="Johannes"/>
    <s v="Masoerii del Mei Plant"/>
    <s v="Ruotorto"/>
    <m/>
    <m/>
    <m/>
    <s v="H"/>
    <n v="1343"/>
    <x v="2"/>
    <n v="10"/>
    <s v="Raynaud de Fay"/>
    <s v="Promisit esse fidelis tenementarius domus Devesseti"/>
    <m/>
    <m/>
    <m/>
    <m/>
    <m/>
    <m/>
    <m/>
    <s v="Constractus emphiteotarii"/>
    <s v="Non"/>
    <s v="Non"/>
    <s v="Non"/>
    <s v="Non"/>
    <s v="Non"/>
    <s v="Non"/>
    <s v="Non"/>
    <n v="2"/>
    <s v="Non"/>
    <s v="Non"/>
    <s v="Non"/>
    <s v="Non"/>
    <s v="Non"/>
    <s v="Non"/>
    <s v="Non"/>
    <s v="Non"/>
    <s v="Non"/>
    <s v="Non"/>
    <s v="Non"/>
    <s v="Non"/>
    <s v="Non"/>
    <s v="Non"/>
    <s v="Non"/>
    <s v="Non"/>
    <s v="Non"/>
    <s v="Non"/>
    <s v="Non"/>
    <s v="Non"/>
    <s v="Non"/>
    <s v="Non"/>
    <s v="Non"/>
    <s v="Non"/>
    <s v="Non"/>
    <s v="Non"/>
    <s v="Non"/>
    <s v="Non"/>
    <s v="Non"/>
    <s v="Non"/>
    <s v="Non"/>
    <s v="Non"/>
    <s v="Non"/>
    <s v="Non"/>
    <m/>
    <s v="2 terre petiam"/>
    <m/>
    <m/>
    <s v="Rochebonne"/>
    <n v="0"/>
    <n v="0"/>
    <n v="0"/>
    <n v="0"/>
    <n v="0"/>
    <n v="0"/>
    <n v="0"/>
    <n v="0"/>
    <n v="0"/>
    <n v="0"/>
    <n v="1"/>
    <n v="9.75"/>
    <n v="0"/>
    <n v="0"/>
    <n v="0"/>
    <n v="0"/>
    <n v="0"/>
    <n v="0"/>
    <n v="0"/>
    <n v="0"/>
    <n v="0"/>
    <n v="0"/>
    <n v="0"/>
    <n v="0"/>
    <n v="0"/>
    <n v="0"/>
    <m/>
    <n v="0"/>
    <n v="0"/>
    <n v="0"/>
    <n v="0"/>
    <n v="0"/>
    <n v="0"/>
    <m/>
    <s v="Toussaint"/>
    <m/>
    <m/>
    <s v="Apud Avenas, in domo dicti Poncii"/>
    <s v="Girandus Girandi de Pulinaco"/>
    <s v="Fratre Johane Meruli"/>
    <s v="Petro d'Avenas"/>
    <s v="Poncio d'Avenas"/>
    <m/>
    <m/>
    <m/>
  </r>
  <r>
    <n v="561"/>
    <m/>
    <s v="Petrus"/>
    <s v="Mola"/>
    <s v="Masalibrant"/>
    <m/>
    <m/>
    <m/>
    <s v="H"/>
    <n v="1343"/>
    <x v="0"/>
    <n v="23"/>
    <s v="Raynaud de Fay"/>
    <s v="Homo-licgius, justitabilis et expletabilis"/>
    <s v="Talhabilis ad omnimodas voluntatis"/>
    <s v="Non"/>
    <s v="Oui"/>
    <s v="Oui"/>
    <s v="Oui"/>
    <s v="Non"/>
    <s v="Avec bœufs et animaux"/>
    <s v="Contractus emphiteotitarii"/>
    <s v="Oui"/>
    <s v="Oui"/>
    <s v="Oui"/>
    <s v="Oui"/>
    <s v="Non"/>
    <s v="Oui"/>
    <s v="Oui"/>
    <s v="Non"/>
    <s v="Oui"/>
    <s v="Oui"/>
    <s v="Oui"/>
    <s v="Non"/>
    <s v="Non"/>
    <s v="Non"/>
    <s v="Non"/>
    <s v="Non"/>
    <s v="Non"/>
    <s v="Non"/>
    <s v="Non"/>
    <s v="Non"/>
    <s v="Non"/>
    <s v="Non"/>
    <s v="Non"/>
    <s v="Non"/>
    <s v="Non"/>
    <s v="Non"/>
    <s v="Non"/>
    <s v="Non"/>
    <s v="Non"/>
    <s v="Non"/>
    <s v="Non"/>
    <s v="Non"/>
    <s v="Non"/>
    <s v="Non"/>
    <s v="Non"/>
    <s v="Non"/>
    <s v="Non"/>
    <s v="Non"/>
    <s v="Non"/>
    <s v="Non"/>
    <s v="Non"/>
    <s v="Oui"/>
    <m/>
    <s v="Domos + grangias + possessiones"/>
    <s v="Loco et territorio de Masalibrant"/>
    <m/>
    <s v="Tence"/>
    <n v="1"/>
    <n v="0"/>
    <n v="0"/>
    <n v="0"/>
    <n v="3"/>
    <n v="0"/>
    <n v="0.25"/>
    <n v="0"/>
    <n v="1"/>
    <n v="0"/>
    <n v="0"/>
    <n v="127.96875"/>
    <n v="0"/>
    <n v="0"/>
    <n v="9"/>
    <n v="0"/>
    <n v="0"/>
    <n v="0"/>
    <n v="0"/>
    <n v="0"/>
    <n v="43.875"/>
    <n v="0"/>
    <n v="0"/>
    <n v="0"/>
    <n v="0"/>
    <n v="0"/>
    <s v="1 Achat"/>
    <n v="22.166666666666668"/>
    <n v="0"/>
    <n v="0"/>
    <n v="0"/>
    <n v="22.166666666666668"/>
    <n v="0"/>
    <s v="Censu et talha"/>
    <s v="Toussaint"/>
    <s v="De juridictine et senhoria"/>
    <s v="Castri seu domus Devesseti"/>
    <s v="Devesset, in turre supra portam"/>
    <s v="Girandus Girandi de Pulinaco"/>
    <s v="Petro de Casalibus"/>
    <s v="Petro Porro"/>
    <s v="Matheo Morelli de Ruppe Paula"/>
    <m/>
    <m/>
    <s v="In quadam compositione olim facta inter dominum aniciensis episcopum et domum Devesseti"/>
  </r>
  <r>
    <n v="571"/>
    <m/>
    <s v="Perruchos"/>
    <s v="Mola"/>
    <s v="Masalibrant"/>
    <m/>
    <s v="Filius Johanis Mola de Masalibrant condam"/>
    <s v="Répertoire lit Mola"/>
    <s v="H"/>
    <n v="1343"/>
    <x v="0"/>
    <n v="23"/>
    <s v="Raynaud de Fay"/>
    <s v="Homo-licgius, justitabilis et expletabilis"/>
    <s v="Talhabilis ad omnimodas voluntatis"/>
    <s v="Non"/>
    <s v="Oui"/>
    <s v="Oui"/>
    <s v="Oui"/>
    <s v="Non"/>
    <m/>
    <s v="Contractus emphiteotitarii"/>
    <s v="Oui"/>
    <s v="Oui"/>
    <s v="Oui"/>
    <s v="Oui"/>
    <s v="Non"/>
    <s v="Oui"/>
    <s v="Oui"/>
    <s v="Non"/>
    <s v="Oui"/>
    <s v="Oui"/>
    <s v="Non"/>
    <s v="Non"/>
    <s v="Non"/>
    <s v="Non"/>
    <s v="Non"/>
    <s v="Non"/>
    <s v="Non"/>
    <s v="Non"/>
    <s v="Non"/>
    <s v="Non"/>
    <s v="Non"/>
    <s v="Non"/>
    <s v="Non"/>
    <s v="Non"/>
    <s v="Non"/>
    <s v="Non"/>
    <s v="Non"/>
    <s v="Non"/>
    <s v="Non"/>
    <s v="Non"/>
    <s v="Non"/>
    <s v="Non"/>
    <s v="Non"/>
    <s v="Non"/>
    <s v="Non"/>
    <s v="Non"/>
    <s v="Non"/>
    <s v="Non"/>
    <s v="Non"/>
    <s v="Non"/>
    <s v="Non"/>
    <s v="Oui"/>
    <m/>
    <m/>
    <s v="Loco et territorio de Masalibrant et de LasRuschas"/>
    <m/>
    <s v="Tence"/>
    <n v="1"/>
    <n v="0"/>
    <n v="0"/>
    <n v="0"/>
    <n v="0"/>
    <n v="0"/>
    <n v="12.166666666666666"/>
    <n v="0"/>
    <n v="0"/>
    <n v="0"/>
    <n v="0"/>
    <n v="59.3125"/>
    <n v="0"/>
    <n v="1"/>
    <n v="0.5"/>
    <n v="0"/>
    <n v="0"/>
    <n v="0"/>
    <n v="0"/>
    <n v="0"/>
    <n v="21.9375"/>
    <n v="0"/>
    <n v="0"/>
    <n v="0"/>
    <n v="0"/>
    <n v="0"/>
    <m/>
    <n v="10.666666666666666"/>
    <n v="0"/>
    <n v="0"/>
    <n v="0"/>
    <n v="10.666666666666666"/>
    <n v="0"/>
    <s v="Censu et talha"/>
    <s v="Toussaint"/>
    <s v="De juridictine et senhoria"/>
    <s v="Castri seu domus Devesseti"/>
    <s v="Devesset, in turre supra portam"/>
    <s v="Girandus Girandi de Pulinaco"/>
    <s v="Petro de Casalibus curato Devesseti"/>
    <s v="Petro Porronis"/>
    <s v="Matheo Morelli de Ruppe Paula"/>
    <m/>
    <m/>
    <s v="In quadam compositione olim facta inter dominum aniciensis episcopum et domum Devesseti"/>
  </r>
  <r>
    <n v="1862"/>
    <m/>
    <s v="Bartholomeus"/>
    <s v="Mola"/>
    <s v="Raschassac"/>
    <s v="Dit de Sancto Agrippano; Habitator de Raschassac"/>
    <m/>
    <s v="Nomine Petronille filie Gregorii Blachonis de Raschassac condam eius uxoris et Martini filii Gregorii lachonis eius conhac' et quod ipse tenetur ver' a chareis ut alii homies de Raschassac"/>
    <s v="H"/>
    <n v="1344"/>
    <x v="8"/>
    <n v="19"/>
    <s v="Raynaud de Fay"/>
    <s v="Homo-licgius"/>
    <m/>
    <m/>
    <m/>
    <m/>
    <m/>
    <m/>
    <m/>
    <m/>
    <n v="1"/>
    <s v="Oui"/>
    <s v="Oui"/>
    <s v="Non"/>
    <s v="Non"/>
    <s v="Non"/>
    <s v="Oui"/>
    <s v="Oui"/>
    <s v="Non"/>
    <s v="Non"/>
    <s v="Non"/>
    <s v="Non"/>
    <s v="Non"/>
    <s v="Non"/>
    <n v="1"/>
    <s v="Non"/>
    <s v="Non"/>
    <s v="Non"/>
    <s v="Non"/>
    <s v="Non"/>
    <s v="Non"/>
    <s v="Non"/>
    <s v="Non"/>
    <s v="Non"/>
    <s v="Non"/>
    <s v="Non"/>
    <s v="Non"/>
    <s v="Non"/>
    <s v="Non"/>
    <s v="Non"/>
    <s v="Non"/>
    <s v="Non"/>
    <s v="Non"/>
    <s v="Non"/>
    <s v="Non"/>
    <s v="Non"/>
    <s v="Non"/>
    <s v="Non"/>
    <s v="Non"/>
    <s v="Non"/>
    <s v="Non"/>
    <s v="Oui"/>
    <s v="Scellé à Lyon le 16 mars 1758 Rem trocosols"/>
    <s v="Molendinum + prata, pasturalia et terras"/>
    <s v="Loco et territorio de Raschassac"/>
    <m/>
    <s v="Devesset"/>
    <n v="0"/>
    <n v="0"/>
    <n v="0"/>
    <n v="0"/>
    <n v="0"/>
    <n v="0"/>
    <n v="9"/>
    <n v="6.5"/>
    <n v="0"/>
    <n v="0"/>
    <n v="0"/>
    <n v="59.71875"/>
    <n v="0"/>
    <n v="0"/>
    <n v="5"/>
    <n v="2"/>
    <n v="0"/>
    <n v="0"/>
    <n v="0"/>
    <n v="0"/>
    <n v="29.25"/>
    <n v="0"/>
    <n v="0"/>
    <n v="0"/>
    <n v="0"/>
    <n v="0"/>
    <s v="Prata, pasturalia et terras"/>
    <n v="8"/>
    <n v="0"/>
    <n v="0"/>
    <n v="0"/>
    <n v="8"/>
    <n v="0"/>
    <m/>
    <s v="Toussaint"/>
    <m/>
    <m/>
    <s v="Devesset, in camera fratris Johannis Meruli"/>
    <s v="Girandus Girandi de Pulinaco"/>
    <s v="Fratre Johannis Meruli"/>
    <s v="Andree de Sirgas"/>
    <s v="Guigone Amly[-]"/>
    <m/>
    <m/>
    <m/>
  </r>
  <r>
    <n v="1183"/>
    <m/>
    <s v="Johannes"/>
    <s v="Montes"/>
    <s v="Chantaloba"/>
    <m/>
    <m/>
    <s v="Pro Guillerma eius sororis"/>
    <s v="H"/>
    <n v="1344"/>
    <x v="3"/>
    <n v="4"/>
    <s v="Raynaud de Fay"/>
    <m/>
    <m/>
    <m/>
    <m/>
    <m/>
    <m/>
    <m/>
    <m/>
    <m/>
    <s v="Non"/>
    <s v="Non"/>
    <s v="Non"/>
    <s v="Non"/>
    <s v="Non"/>
    <s v="Non"/>
    <s v="Non"/>
    <s v="Non"/>
    <s v="Non"/>
    <s v="Non"/>
    <s v="Non"/>
    <s v="Non"/>
    <s v="Non"/>
    <s v="Non"/>
    <s v="Non"/>
    <s v="Non"/>
    <s v="Non"/>
    <s v="Non"/>
    <s v="Non"/>
    <s v="Non"/>
    <s v="Non"/>
    <s v="Non"/>
    <s v="Non"/>
    <s v="Non"/>
    <s v="Non"/>
    <s v="Non"/>
    <n v="1"/>
    <s v="Non"/>
    <s v="Non"/>
    <s v="Non"/>
    <s v="Non"/>
    <s v="Non"/>
    <s v="Non"/>
    <s v="Non"/>
    <s v="Non"/>
    <s v="Non"/>
    <s v="Non"/>
    <s v="Non"/>
    <s v="Non"/>
    <s v="Non"/>
    <s v="Non"/>
    <s v="Non"/>
    <s v="Non debet facere literam de presente nooa"/>
    <m/>
    <m/>
    <s v="Sœur"/>
    <s v="Fay"/>
    <n v="1"/>
    <n v="0"/>
    <n v="0"/>
    <n v="0"/>
    <n v="0"/>
    <n v="1"/>
    <n v="0"/>
    <n v="0"/>
    <n v="0"/>
    <n v="0"/>
    <n v="0"/>
    <n v="19.5"/>
    <n v="0"/>
    <n v="0"/>
    <n v="12"/>
    <n v="0"/>
    <n v="0"/>
    <n v="0"/>
    <n v="0"/>
    <n v="0"/>
    <n v="58.5"/>
    <n v="0"/>
    <n v="0"/>
    <n v="0"/>
    <n v="0"/>
    <n v="0"/>
    <s v="Masacgio"/>
    <n v="0.41666666666666669"/>
    <n v="0"/>
    <n v="0"/>
    <n v="0"/>
    <n v="0.41666666666666669"/>
    <n v="0"/>
    <m/>
    <m/>
    <m/>
    <m/>
    <m/>
    <m/>
    <m/>
    <m/>
    <m/>
    <m/>
    <m/>
    <m/>
  </r>
  <r>
    <n v="1522"/>
    <m/>
    <s v="Jacobus"/>
    <s v="Mundonis"/>
    <s v="Lanarena"/>
    <m/>
    <m/>
    <m/>
    <s v="H"/>
    <n v="1342"/>
    <x v="2"/>
    <n v="8"/>
    <s v="Raynaud de Fay"/>
    <m/>
    <m/>
    <m/>
    <m/>
    <m/>
    <m/>
    <m/>
    <m/>
    <s v="Constractus emphiteotarii"/>
    <s v="Non"/>
    <s v="Non"/>
    <s v="Non"/>
    <s v="Non"/>
    <s v="Non"/>
    <s v="Non"/>
    <s v="Non"/>
    <s v="Oui"/>
    <s v="Non"/>
    <s v="Non"/>
    <s v="Non"/>
    <s v="Non"/>
    <s v="Non"/>
    <s v="Non"/>
    <s v="Non"/>
    <s v="Non"/>
    <s v="Non"/>
    <s v="Non"/>
    <s v="Non"/>
    <s v="Non"/>
    <s v="Non"/>
    <s v="Non"/>
    <s v="Non"/>
    <s v="Non"/>
    <s v="Non"/>
    <s v="Non"/>
    <s v="Non"/>
    <s v="Non"/>
    <s v="Non"/>
    <s v="Non"/>
    <s v="Non"/>
    <s v="Non"/>
    <s v="Non"/>
    <s v="Non"/>
    <s v="Non"/>
    <s v="Non"/>
    <s v="Non"/>
    <s v="Non"/>
    <s v="Non"/>
    <s v="Non"/>
    <s v="Non"/>
    <s v="Non"/>
    <m/>
    <s v="Petiam terre"/>
    <m/>
    <m/>
    <m/>
    <n v="0"/>
    <n v="0"/>
    <n v="0"/>
    <n v="0"/>
    <n v="0"/>
    <n v="0"/>
    <n v="0"/>
    <n v="0"/>
    <n v="0"/>
    <n v="0"/>
    <n v="0"/>
    <n v="0"/>
    <n v="0"/>
    <n v="0"/>
    <n v="0"/>
    <n v="0"/>
    <n v="0"/>
    <n v="0"/>
    <n v="0"/>
    <n v="0"/>
    <n v="0"/>
    <n v="0"/>
    <n v="0"/>
    <n v="0"/>
    <n v="0"/>
    <n v="0"/>
    <s v="Petiam terre"/>
    <n v="0.33333333333333331"/>
    <n v="0"/>
    <n v="0"/>
    <n v="0"/>
    <n v="0.33333333333333331"/>
    <n v="0"/>
    <m/>
    <s v="Toussaint"/>
    <m/>
    <m/>
    <s v="Saint-Agrève, ante graidum somini preceptoris"/>
    <s v="Girandus Girandi de Pulinaco"/>
    <s v="Bartholomeo de Malagaita"/>
    <s v="Johanne de Malagaita"/>
    <s v="Johanne Cardini de Chausilhac"/>
    <s v="Al' Sanhas"/>
    <m/>
    <m/>
  </r>
  <r>
    <n v="1312"/>
    <m/>
    <s v="Petrus"/>
    <s v="Natalis"/>
    <s v="Chapons"/>
    <m/>
    <s v="Filius Guillermi Natalis de Chapons condam"/>
    <m/>
    <s v="H"/>
    <n v="1343"/>
    <x v="2"/>
    <n v="11"/>
    <s v="Raynaud de Fay"/>
    <s v="Promisit esse bonus et fidelis tenementarius domum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m/>
    <n v="0.16666666666666666"/>
    <n v="0"/>
    <n v="0"/>
    <n v="0"/>
    <n v="0.16666666666666666"/>
    <n v="0"/>
    <m/>
    <s v="Toussaint"/>
    <m/>
    <m/>
    <s v="Apud Lo Chaslar, in domo Juliarii Sartoris"/>
    <s v="Girandus Girandi de Pulinaco"/>
    <s v="Guillermo Grosseti Servienti Devesseti"/>
    <s v="Poncio d'Avenas"/>
    <m/>
    <m/>
    <m/>
    <m/>
  </r>
  <r>
    <n v="1301"/>
    <s v="Page dure à lire"/>
    <s v="Matheus et Peyronus"/>
    <s v="Palaya"/>
    <s v="Del Chastanheir de Jannac"/>
    <m/>
    <m/>
    <m/>
    <s v="G"/>
    <n v="1343"/>
    <x v="2"/>
    <n v="10"/>
    <s v="Raynaud de Fay"/>
    <s v="Promisit esse fidelis tenementarius domus Devesseti"/>
    <m/>
    <m/>
    <m/>
    <m/>
    <m/>
    <m/>
    <m/>
    <s v="Constractus emphiteotarii"/>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Ortum + domum"/>
    <m/>
    <m/>
    <m/>
    <n v="0"/>
    <n v="0"/>
    <n v="0"/>
    <n v="0"/>
    <n v="0"/>
    <n v="0"/>
    <n v="0"/>
    <n v="0"/>
    <n v="0"/>
    <n v="0"/>
    <n v="0"/>
    <n v="0"/>
    <n v="0"/>
    <n v="0"/>
    <n v="0"/>
    <n v="0"/>
    <n v="0"/>
    <n v="0"/>
    <n v="0"/>
    <n v="0"/>
    <n v="0"/>
    <n v="0"/>
    <n v="0"/>
    <n v="0"/>
    <n v="0"/>
    <n v="0"/>
    <m/>
    <n v="0"/>
    <n v="3"/>
    <n v="0"/>
    <n v="0"/>
    <n v="0.125"/>
    <n v="0"/>
    <m/>
    <s v="Toussaint"/>
    <m/>
    <m/>
    <s v="Apud Avenas, in domo dicti Poncii"/>
    <s v="Girandus Girandi de Pulinaco"/>
    <s v="Fratre Johane Meruli"/>
    <s v="Guillermo Grosseti Servienti Devesseti"/>
    <s v="Poncio d'Avenas"/>
    <m/>
    <m/>
    <m/>
  </r>
  <r>
    <n v="1591"/>
    <m/>
    <s v="Petrus "/>
    <s v="Palherii"/>
    <s v="Malgnines"/>
    <m/>
    <m/>
    <s v="Nomine Peyruchonis Palherii eius fratris"/>
    <s v="H"/>
    <n v="1343"/>
    <x v="3"/>
    <n v="20"/>
    <s v="Raynaud de Fay"/>
    <s v="Homo-licgius, justitabilis et expletabilis"/>
    <m/>
    <s v="Non"/>
    <s v="Oui"/>
    <s v="Oui"/>
    <s v="Oui"/>
    <s v="Non"/>
    <s v="Avec bœufs et animaux"/>
    <s v="Constractus emphiteotarii"/>
    <n v="1"/>
    <n v="1"/>
    <n v="2"/>
    <s v="Non"/>
    <n v="2"/>
    <s v="Non"/>
    <s v="Non"/>
    <s v="Non"/>
    <s v="Non"/>
    <s v="Non"/>
    <s v="Non"/>
    <s v="Non"/>
    <s v="Non"/>
    <s v="Non"/>
    <s v="Non"/>
    <n v="1"/>
    <s v="Non"/>
    <s v="Non"/>
    <s v="Non"/>
    <s v="Non"/>
    <s v="Non"/>
    <s v="Non"/>
    <s v="Non"/>
    <s v="Non"/>
    <s v="Non"/>
    <s v="Non"/>
    <s v="Non"/>
    <s v="Non"/>
    <s v="Non"/>
    <s v="Non"/>
    <s v="Non"/>
    <s v="Non"/>
    <s v="Non"/>
    <s v="Non"/>
    <s v="Non"/>
    <s v="Non"/>
    <s v="Non"/>
    <s v="Non"/>
    <s v="Non"/>
    <s v="Non"/>
    <s v="Non"/>
    <s v="Non"/>
    <m/>
    <s v="Domus + ouchiam + 2 pratum + 2 nemus"/>
    <m/>
    <s v="Frère"/>
    <s v="Devesset"/>
    <n v="1"/>
    <n v="0"/>
    <n v="0"/>
    <n v="0"/>
    <n v="0"/>
    <n v="0"/>
    <n v="3"/>
    <n v="0"/>
    <n v="0"/>
    <n v="0"/>
    <n v="0"/>
    <n v="14.625"/>
    <n v="0"/>
    <n v="0"/>
    <n v="3"/>
    <n v="0"/>
    <n v="0"/>
    <n v="0"/>
    <n v="0"/>
    <n v="0"/>
    <n v="14.625"/>
    <n v="0"/>
    <n v="0"/>
    <n v="0"/>
    <n v="0"/>
    <n v="0"/>
    <m/>
    <n v="30"/>
    <n v="0"/>
    <n v="0"/>
    <n v="0"/>
    <n v="30"/>
    <n v="0"/>
    <s v="Censu et talha + 2 nemus + prata"/>
    <s v="Toussaint"/>
    <s v="Mero et mixto imperio"/>
    <s v="De mandamento et de juridictione castri Devesseti"/>
    <s v="Devesset, in turre supra portam"/>
    <s v="Girandus Girandi de Pulinaco"/>
    <s v="Gerentono de Podio Frigido"/>
    <s v="Andree de Jalibertis"/>
    <s v="Untentio de Villa Nova"/>
    <m/>
    <m/>
    <m/>
  </r>
  <r>
    <n v="361"/>
    <m/>
    <s v="Raymundus"/>
    <s v="Parayre"/>
    <s v="La Brueyra"/>
    <m/>
    <m/>
    <m/>
    <s v="H"/>
    <n v="1343"/>
    <x v="0"/>
    <n v="8"/>
    <s v="Raynaud de Fay"/>
    <m/>
    <m/>
    <s v="Non"/>
    <s v="Non"/>
    <s v="Non"/>
    <s v="Non"/>
    <s v="Non"/>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Nemus + 2 prati"/>
    <m/>
    <m/>
    <m/>
    <n v="0"/>
    <n v="0"/>
    <n v="0"/>
    <n v="0"/>
    <n v="0"/>
    <n v="0"/>
    <n v="0"/>
    <n v="0"/>
    <n v="0"/>
    <n v="0"/>
    <n v="0"/>
    <n v="0"/>
    <n v="0"/>
    <n v="0"/>
    <n v="0"/>
    <n v="0"/>
    <n v="0"/>
    <n v="0"/>
    <n v="0"/>
    <n v="0"/>
    <n v="0"/>
    <n v="0"/>
    <n v="0"/>
    <n v="0"/>
    <n v="0"/>
    <n v="0"/>
    <m/>
    <n v="0.41666666666666669"/>
    <n v="0"/>
    <n v="0"/>
    <n v="0"/>
    <n v="0.41666666666666669"/>
    <n v="0"/>
    <m/>
    <s v="Toussaint"/>
    <m/>
    <m/>
    <s v="Devesset, in turre supra portam"/>
    <s v="Girandus Girandi de Pulinaco"/>
    <s v="Fratre Petro de Casalibus (Hospitalier)"/>
    <s v="Bernardo de Ruppe"/>
    <s v="Armandi de Devesseto"/>
    <m/>
    <m/>
    <m/>
  </r>
  <r>
    <n v="822"/>
    <s v="Marge illisible"/>
    <s v="Poncius"/>
    <s v="Pastorali Dorba"/>
    <s v="Chanclausa"/>
    <m/>
    <m/>
    <m/>
    <s v="H"/>
    <n v="1343"/>
    <x v="7"/>
    <n v="29"/>
    <s v="Raynaud de Fay"/>
    <s v="Promisit esse bonus tenementarius domus Devesseti"/>
    <m/>
    <m/>
    <m/>
    <m/>
    <m/>
    <m/>
    <m/>
    <m/>
    <s v="Non"/>
    <s v="Non"/>
    <s v="Non"/>
    <s v="Non"/>
    <s v="Non"/>
    <s v="Non"/>
    <n v="1"/>
    <s v="Non"/>
    <s v="Non"/>
    <s v="Non"/>
    <s v="Non"/>
    <s v="Non"/>
    <s v="Non"/>
    <s v="Non"/>
    <s v="Non"/>
    <s v="Non"/>
    <s v="Non"/>
    <s v="Non"/>
    <s v="Non"/>
    <n v="1"/>
    <s v="Non"/>
    <s v="Non"/>
    <s v="Non"/>
    <s v="Non"/>
    <s v="Non"/>
    <s v="Non"/>
    <s v="Non"/>
    <s v="Non"/>
    <s v="Non"/>
    <s v="Non"/>
    <s v="Non"/>
    <s v="Non"/>
    <s v="Non"/>
    <s v="Non"/>
    <s v="Non"/>
    <s v="Non"/>
    <s v="Non"/>
    <s v="Non"/>
    <s v="Non"/>
    <s v="Non"/>
    <s v="Non"/>
    <s v="Non"/>
    <m/>
    <s v="Petiam + Pasturale"/>
    <m/>
    <m/>
    <s v="Fay"/>
    <n v="0"/>
    <n v="0"/>
    <n v="0"/>
    <n v="0"/>
    <n v="0"/>
    <n v="0"/>
    <n v="0"/>
    <n v="0"/>
    <n v="0"/>
    <n v="0"/>
    <n v="0"/>
    <n v="0"/>
    <n v="0"/>
    <n v="0"/>
    <n v="1"/>
    <n v="0"/>
    <n v="0"/>
    <n v="0"/>
    <n v="0"/>
    <n v="0"/>
    <n v="4.875"/>
    <n v="0"/>
    <n v="0"/>
    <n v="0"/>
    <n v="0"/>
    <n v="0"/>
    <m/>
    <n v="0"/>
    <n v="0"/>
    <n v="0"/>
    <n v="0"/>
    <n v="0"/>
    <n v="0"/>
    <m/>
    <s v="Toussaint"/>
    <s v="De omnimoda juridictione"/>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691"/>
    <m/>
    <s v="Benedicta"/>
    <s v="Pastre"/>
    <s v="Masalibrant"/>
    <m/>
    <s v="Filia Petri Pastre de Msalibrant condam"/>
    <s v="Pro et nomine Aguetis eius sororis"/>
    <s v="F"/>
    <n v="1343"/>
    <x v="6"/>
    <n v="8"/>
    <s v="Raynaud de Fay"/>
    <s v="Mulier-licgia, justitabilis et expletabilis"/>
    <s v="Talhabilas"/>
    <s v="Non"/>
    <s v="Oui"/>
    <s v="Oui"/>
    <s v="Oui"/>
    <s v="Non"/>
    <s v="Avec bœufs et animaux"/>
    <s v="Contractus emphiteotitarii"/>
    <s v="Non"/>
    <n v="1"/>
    <s v="Oui"/>
    <s v="Non"/>
    <s v="Oui"/>
    <s v="Oui"/>
    <s v="Oui"/>
    <s v="Oui"/>
    <n v="1"/>
    <s v="Non"/>
    <s v="Non"/>
    <s v="Non"/>
    <s v="Non"/>
    <s v="Non"/>
    <s v="Non"/>
    <s v="Oui"/>
    <s v="Non"/>
    <s v="Non"/>
    <s v="Non"/>
    <s v="Non"/>
    <s v="Non"/>
    <s v="Non"/>
    <s v="Non"/>
    <s v="Non"/>
    <s v="Non"/>
    <s v="Non"/>
    <s v="Non"/>
    <s v="Non"/>
    <s v="Non"/>
    <s v="Non"/>
    <s v="Non"/>
    <s v="Non"/>
    <s v="Non"/>
    <s v="Non"/>
    <s v="Non"/>
    <s v="Non"/>
    <s v="Non"/>
    <s v="Non"/>
    <s v="Non"/>
    <s v="Non"/>
    <s v="Non"/>
    <s v="Oui"/>
    <m/>
    <s v="Casale + ortum"/>
    <s v="Loco et territorio de Masalibrant"/>
    <s v="Sœur"/>
    <s v="Tence"/>
    <n v="0.25"/>
    <n v="0"/>
    <n v="0"/>
    <n v="0"/>
    <n v="0"/>
    <n v="0"/>
    <n v="3"/>
    <n v="1"/>
    <n v="0"/>
    <n v="0"/>
    <n v="0"/>
    <n v="17.0625"/>
    <n v="0"/>
    <n v="0"/>
    <n v="1"/>
    <n v="0"/>
    <n v="0"/>
    <n v="0"/>
    <n v="0"/>
    <n v="0"/>
    <n v="4.875"/>
    <n v="0"/>
    <n v="0"/>
    <n v="0"/>
    <n v="0"/>
    <n v="0"/>
    <m/>
    <n v="2"/>
    <n v="0"/>
    <n v="0"/>
    <n v="-1"/>
    <n v="1.9791666666666667"/>
    <n v="0"/>
    <s v="Censu et talha"/>
    <s v="Toussaint"/>
    <m/>
    <s v="De juridictione domus Devesseti"/>
    <s v="Ville Neuve de Devesset, dans la maison des enfants Morelli"/>
    <s v="Girandus Girandi de Pulinaco"/>
    <s v="Metheo de Tornemantel"/>
    <s v="Petro de la Fauria al' porronis"/>
    <s v="Johane de Mela al' ros"/>
    <m/>
    <m/>
    <s v="In quadam compositione olim facta inter dominum aniciensis episcopum et domum Devesseti"/>
  </r>
  <r>
    <n v="701"/>
    <m/>
    <s v="Blancha"/>
    <s v="Pastre"/>
    <s v="Masalibrant"/>
    <m/>
    <s v="Filia Petri Pastre de Msalibrant condam"/>
    <m/>
    <s v="F"/>
    <n v="1343"/>
    <x v="6"/>
    <n v="8"/>
    <s v="Raynaud de Fay"/>
    <s v="Mulier-licgia, justitabilis et expletabilis"/>
    <s v="Talhabilis ad omnimodas voluntatis"/>
    <s v="Non"/>
    <s v="Oui"/>
    <s v="Oui"/>
    <s v="Oui"/>
    <s v="Non"/>
    <s v="Avec bœufs et animaux"/>
    <s v="Contractus emphiteotitarii"/>
    <s v="Non"/>
    <n v="1"/>
    <s v="Non"/>
    <s v="Oui"/>
    <s v="Non"/>
    <s v="Non"/>
    <s v="Non"/>
    <s v="Oui"/>
    <n v="1"/>
    <s v="Non"/>
    <s v="Non"/>
    <s v="Non"/>
    <s v="Non"/>
    <s v="Non"/>
    <s v="Non"/>
    <s v="Non"/>
    <s v="Non"/>
    <s v="Non"/>
    <s v="Non"/>
    <s v="Non"/>
    <s v="Non"/>
    <s v="Non"/>
    <s v="Non"/>
    <s v="Non"/>
    <s v="Non"/>
    <s v="Non"/>
    <s v="Non"/>
    <s v="Non"/>
    <s v="Non"/>
    <s v="Non"/>
    <s v="Non"/>
    <s v="Non"/>
    <s v="Non"/>
    <s v="Non"/>
    <s v="Non"/>
    <s v="Non"/>
    <s v="Non"/>
    <s v="Non"/>
    <s v="Non"/>
    <s v="Non"/>
    <s v="Non"/>
    <s v="Oui"/>
    <m/>
    <s v="Casale"/>
    <s v="Loco et territorio de Masalibrant"/>
    <m/>
    <s v="Tence"/>
    <n v="0.125"/>
    <n v="0"/>
    <n v="0"/>
    <n v="0"/>
    <n v="0"/>
    <n v="0"/>
    <n v="1.5"/>
    <n v="0.5"/>
    <n v="0"/>
    <n v="0"/>
    <n v="0"/>
    <n v="8.53125"/>
    <n v="0"/>
    <n v="0"/>
    <n v="0.5"/>
    <n v="0"/>
    <n v="0"/>
    <n v="0"/>
    <n v="0"/>
    <n v="0"/>
    <n v="2.4375"/>
    <n v="0"/>
    <n v="0"/>
    <n v="0"/>
    <n v="0"/>
    <n v="0"/>
    <m/>
    <n v="1"/>
    <n v="0"/>
    <n v="0"/>
    <n v="-0.5"/>
    <n v="0.98958333333333337"/>
    <n v="0"/>
    <s v="Censu et talha"/>
    <s v="Toussaint"/>
    <m/>
    <m/>
    <s v="Ville Neuve de Devesset, dans la maison des enfants Morelli"/>
    <s v="Girandus Girandi de Pulinaco"/>
    <s v="Metheo de Tornemantel"/>
    <s v="Petro de la Fauria al' porronis"/>
    <s v="Johane de Mela al' ros"/>
    <m/>
    <m/>
    <m/>
  </r>
  <r>
    <n v="711"/>
    <m/>
    <s v="Marteta"/>
    <s v="Pastre"/>
    <s v="Masalibrant"/>
    <m/>
    <s v="Filia Petri Pastre de Msalibrant condam"/>
    <m/>
    <s v="F"/>
    <n v="1343"/>
    <x v="6"/>
    <n v="8"/>
    <s v="Raynaud de Fay"/>
    <s v="Mulier-licgia, justitabilis et expletabilis"/>
    <s v="Talhabilis ad omnimodas voluntatis"/>
    <s v="Non"/>
    <s v="Oui"/>
    <s v="Non"/>
    <s v="Oui"/>
    <s v="Non"/>
    <s v="Avec animaux"/>
    <m/>
    <s v="Non"/>
    <s v="Non"/>
    <s v="Oui"/>
    <s v="Non"/>
    <s v="Non"/>
    <s v="Non"/>
    <s v="Non"/>
    <s v="Oui"/>
    <s v="Non"/>
    <s v="Non"/>
    <s v="Non"/>
    <s v="Non"/>
    <s v="Non"/>
    <s v="Non"/>
    <s v="Non"/>
    <s v="Non"/>
    <s v="Non"/>
    <s v="Non"/>
    <s v="Non"/>
    <s v="Non"/>
    <s v="Non"/>
    <s v="Non"/>
    <s v="Non"/>
    <s v="Non"/>
    <s v="Non"/>
    <s v="Non"/>
    <s v="Non"/>
    <s v="Non"/>
    <s v="Non"/>
    <s v="Non"/>
    <s v="Non"/>
    <s v="Non"/>
    <s v="Non"/>
    <s v="Non"/>
    <s v="Non"/>
    <s v="Non"/>
    <s v="Non"/>
    <s v="Non"/>
    <s v="Non"/>
    <s v="Non"/>
    <s v="Non"/>
    <s v="Oui"/>
    <m/>
    <m/>
    <s v="Loco et territorio de Masalibrant"/>
    <m/>
    <s v="Tence"/>
    <n v="0.125"/>
    <n v="0"/>
    <n v="0"/>
    <n v="0"/>
    <n v="0"/>
    <n v="0"/>
    <n v="1.5"/>
    <n v="0.25"/>
    <n v="0"/>
    <n v="0"/>
    <n v="0"/>
    <n v="7.921875"/>
    <n v="0"/>
    <n v="0"/>
    <n v="0.5"/>
    <n v="0"/>
    <n v="0"/>
    <n v="0"/>
    <n v="0"/>
    <n v="0"/>
    <n v="2.4375"/>
    <n v="0"/>
    <n v="0"/>
    <n v="0"/>
    <n v="0"/>
    <n v="0"/>
    <m/>
    <n v="1"/>
    <n v="0"/>
    <n v="0"/>
    <n v="-1"/>
    <n v="0.97916666666666663"/>
    <n v="0"/>
    <m/>
    <s v="Toussaint"/>
    <m/>
    <m/>
    <s v="Ville Neuve de Devesset, dans la maison des enfants Morelli"/>
    <s v="Girandus Girandi de Pulinaco"/>
    <s v="Metheo de Tornemantel"/>
    <s v="Petro de la Fauria al' porronis"/>
    <s v="Johane de Mela al' ros"/>
    <m/>
    <m/>
    <m/>
  </r>
  <r>
    <n v="362"/>
    <m/>
    <s v="Peyruchonus"/>
    <s v="Paulini"/>
    <s v="La Brueyra"/>
    <m/>
    <m/>
    <m/>
    <s v="H"/>
    <n v="1343"/>
    <x v="0"/>
    <n v="8"/>
    <s v="Raynaud de Fay"/>
    <m/>
    <m/>
    <s v="Non"/>
    <s v="Non"/>
    <s v="Non"/>
    <s v="Non"/>
    <s v="Non"/>
    <m/>
    <s v="Contractus emphiteotitarii"/>
    <s v="Non"/>
    <s v="Non"/>
    <n v="2"/>
    <s v="Non"/>
    <n v="1"/>
    <s v="Non"/>
    <s v="Non"/>
    <s v="Non"/>
    <s v="Non"/>
    <s v="Non"/>
    <s v="Non"/>
    <s v="Non"/>
    <s v="Non"/>
    <s v="Non"/>
    <s v="Non"/>
    <s v="Non"/>
    <s v="Non"/>
    <s v="Non"/>
    <s v="Non"/>
    <s v="Non"/>
    <s v="Non"/>
    <s v="Non"/>
    <s v="Non"/>
    <s v="Non"/>
    <s v="Non"/>
    <s v="Non"/>
    <s v="Non"/>
    <s v="Non"/>
    <s v="Non"/>
    <s v="Non"/>
    <s v="Non"/>
    <s v="Non"/>
    <s v="Non"/>
    <s v="Non"/>
    <s v="Non"/>
    <s v="Non"/>
    <s v="Non"/>
    <s v="Non"/>
    <s v="Non"/>
    <s v="Non"/>
    <s v="Non"/>
    <s v="Non"/>
    <m/>
    <s v="Ortum"/>
    <m/>
    <m/>
    <m/>
    <n v="0"/>
    <n v="0"/>
    <n v="0"/>
    <n v="0"/>
    <n v="0"/>
    <n v="0"/>
    <n v="0"/>
    <n v="0"/>
    <n v="0"/>
    <n v="0"/>
    <n v="0"/>
    <n v="0"/>
    <n v="0"/>
    <n v="0"/>
    <n v="0"/>
    <n v="0"/>
    <n v="0"/>
    <n v="0"/>
    <n v="0"/>
    <n v="0"/>
    <n v="0"/>
    <n v="0"/>
    <n v="0"/>
    <n v="0"/>
    <n v="0"/>
    <n v="0"/>
    <m/>
    <n v="7"/>
    <m/>
    <m/>
    <n v="0"/>
    <n v="7"/>
    <n v="0"/>
    <m/>
    <s v="Toussaint"/>
    <m/>
    <m/>
    <s v="Devesset, in turre supra portam"/>
    <s v="Girandus Girandi de Pulinaco"/>
    <s v="Fratre Petro de Casalibus (Hospitalier)"/>
    <s v="Raymundo Parare"/>
    <s v="Armandi de Devesseto"/>
    <m/>
    <m/>
    <m/>
  </r>
  <r>
    <n v="1292"/>
    <m/>
    <s v="Martinus"/>
    <s v="Pelachecha"/>
    <s v="Arcens"/>
    <m/>
    <s v="Filius Stephani Pelachacha d'Arcens"/>
    <s v="Nomine Vitalis fratris sui"/>
    <s v="H"/>
    <n v="1343"/>
    <x v="2"/>
    <n v="10"/>
    <s v="Raynaud de Fay"/>
    <s v="Promisit esse fidelis tenementarius domus Devesseti"/>
    <m/>
    <m/>
    <m/>
    <m/>
    <m/>
    <m/>
    <m/>
    <s v="Constractus emphiteotarii"/>
    <s v="Non"/>
    <s v="Non"/>
    <s v="Non"/>
    <s v="Non"/>
    <s v="Non"/>
    <s v="Non"/>
    <s v="Non"/>
    <n v="1"/>
    <s v="Non"/>
    <s v="Non"/>
    <s v="Non"/>
    <s v="Non"/>
    <s v="Non"/>
    <s v="Non"/>
    <s v="Non"/>
    <s v="Non"/>
    <s v="Non"/>
    <s v="Non"/>
    <s v="Non"/>
    <s v="Non"/>
    <s v="Non"/>
    <s v="Non"/>
    <s v="Non"/>
    <s v="Non"/>
    <s v="Non"/>
    <s v="Non"/>
    <s v="Non"/>
    <s v="Non"/>
    <s v="Non"/>
    <s v="Non"/>
    <s v="Non"/>
    <s v="Non"/>
    <s v="Non"/>
    <s v="Non"/>
    <s v="Non"/>
    <s v="Non"/>
    <s v="Non"/>
    <s v="Non"/>
    <s v="Non"/>
    <s v="Non"/>
    <s v="Non"/>
    <s v="Non"/>
    <m/>
    <s v="Terre petiam"/>
    <m/>
    <m/>
    <m/>
    <n v="1"/>
    <n v="0"/>
    <n v="0"/>
    <n v="0"/>
    <n v="0"/>
    <n v="0"/>
    <n v="0"/>
    <n v="0"/>
    <n v="0"/>
    <n v="0"/>
    <n v="0"/>
    <n v="0"/>
    <n v="0"/>
    <n v="0"/>
    <n v="0"/>
    <n v="0"/>
    <n v="0"/>
    <n v="0"/>
    <n v="0"/>
    <n v="0"/>
    <n v="0"/>
    <n v="0"/>
    <n v="0"/>
    <n v="0"/>
    <n v="0"/>
    <n v="0"/>
    <m/>
    <n v="1"/>
    <n v="0"/>
    <n v="0"/>
    <n v="0"/>
    <n v="1"/>
    <n v="0"/>
    <m/>
    <s v="Toussaint"/>
    <m/>
    <m/>
    <s v="Apud Avenas, in domo dicti Poncii"/>
    <s v="Girandus Girandi de Pulinaco"/>
    <s v="Fratre Johane Meruli"/>
    <s v="Guillermo Grosseti"/>
    <s v="Vitaloro filio Johannis Ruffi de Aymoneto de Sancto Agrippavio"/>
    <m/>
    <m/>
    <m/>
  </r>
  <r>
    <n v="831"/>
    <s v="Marge illisible"/>
    <s v="Johannes"/>
    <s v="Pelacuer Dorba"/>
    <s v="Chanclausa"/>
    <m/>
    <m/>
    <m/>
    <s v="H"/>
    <n v="1343"/>
    <x v="7"/>
    <n v="29"/>
    <s v="Raynaud de Fay"/>
    <s v="Promisit esse bonus tenementarius domus Devesseti"/>
    <m/>
    <m/>
    <m/>
    <m/>
    <m/>
    <m/>
    <m/>
    <s v="Contractus emphiteotitarii"/>
    <s v="Non"/>
    <s v="Non"/>
    <n v="2"/>
    <s v="Non"/>
    <s v="Non"/>
    <s v="Non"/>
    <n v="1"/>
    <s v="Non"/>
    <s v="Non"/>
    <s v="Non"/>
    <s v="Non"/>
    <s v="Non"/>
    <s v="Non"/>
    <s v="Non"/>
    <s v="Non"/>
    <s v="Non"/>
    <s v="Non"/>
    <s v="Non"/>
    <s v="Non"/>
    <n v="2"/>
    <s v="Non"/>
    <s v="Non"/>
    <s v="Non"/>
    <s v="Non"/>
    <s v="Non"/>
    <s v="Non"/>
    <s v="Non"/>
    <s v="Non"/>
    <s v="Non"/>
    <s v="Non"/>
    <s v="Non"/>
    <s v="Non"/>
    <s v="Non"/>
    <s v="Non"/>
    <s v="Non"/>
    <s v="Non"/>
    <s v="Non"/>
    <s v="Non"/>
    <s v="Non"/>
    <s v="Non"/>
    <s v="Non"/>
    <s v="Non"/>
    <m/>
    <s v="2 Prati + 2 Petiae + 1 Pasturale"/>
    <m/>
    <m/>
    <s v="Fay"/>
    <n v="0"/>
    <n v="0"/>
    <n v="0"/>
    <n v="0"/>
    <n v="0"/>
    <n v="0"/>
    <n v="1"/>
    <n v="0"/>
    <n v="0"/>
    <n v="0"/>
    <n v="0"/>
    <n v="4.875"/>
    <n v="0"/>
    <n v="0"/>
    <n v="1"/>
    <n v="0"/>
    <n v="0"/>
    <n v="0"/>
    <n v="0"/>
    <n v="0"/>
    <n v="4.875"/>
    <n v="0"/>
    <n v="0"/>
    <n v="0"/>
    <n v="0"/>
    <n v="0"/>
    <m/>
    <n v="0.33333333333333331"/>
    <n v="0"/>
    <n v="0"/>
    <n v="0"/>
    <n v="0.33333333333333331"/>
    <n v="0"/>
    <m/>
    <s v="Toussaint"/>
    <s v="De juridictine et senhoria"/>
    <s v="Castri Devesseti"/>
    <s v="Ville Neuve de Devesset, à côté de la maison de Johannis de Fonte"/>
    <s v="Girandus Girandi de Pulinaco"/>
    <s v="Fratre Johanne Meruli ordinis Hospitalis"/>
    <s v="Guillermo Passamar"/>
    <s v="Johannis Chanclausonis"/>
    <m/>
    <m/>
    <s v="In quadam compositione olim facta inter dominum aniciensis episcopum et domum Devesseti"/>
  </r>
  <r>
    <n v="862"/>
    <s v="Marge illisible"/>
    <s v="Jacobus"/>
    <s v="Pelacuer Dorba"/>
    <s v="Chanclausa"/>
    <s v="Parrochie de Chanclausa"/>
    <m/>
    <m/>
    <s v="H"/>
    <n v="1343"/>
    <x v="1"/>
    <n v="29"/>
    <s v="Raynaud de Fay"/>
    <m/>
    <m/>
    <m/>
    <m/>
    <m/>
    <m/>
    <m/>
    <m/>
    <m/>
    <s v="Non"/>
    <s v="Non"/>
    <n v="2"/>
    <s v="Non"/>
    <s v="Non"/>
    <s v="Non"/>
    <n v="1"/>
    <s v="Oui"/>
    <s v="Non"/>
    <s v="Non"/>
    <s v="Non"/>
    <s v="Non"/>
    <s v="Non"/>
    <s v="Non"/>
    <s v="Non"/>
    <s v="Non"/>
    <s v="Non"/>
    <s v="Non"/>
    <s v="Non"/>
    <s v="Non"/>
    <s v="Non"/>
    <s v="Non"/>
    <s v="Non"/>
    <s v="Non"/>
    <s v="Non"/>
    <s v="Non"/>
    <s v="Non"/>
    <s v="Non"/>
    <s v="Non"/>
    <s v="Non"/>
    <s v="Non"/>
    <s v="Non"/>
    <s v="Non"/>
    <s v="Non"/>
    <s v="Non"/>
    <s v="Non"/>
    <s v="Non"/>
    <s v="Non"/>
    <s v="Non"/>
    <s v="Non"/>
    <s v="Non"/>
    <s v="Non"/>
    <m/>
    <s v="2 Prati + 1 terre petia + 1 Pasturale"/>
    <m/>
    <m/>
    <s v="Fay"/>
    <n v="0"/>
    <n v="0"/>
    <n v="0"/>
    <n v="0"/>
    <n v="0"/>
    <n v="0"/>
    <n v="0.5"/>
    <n v="0"/>
    <n v="0"/>
    <n v="0"/>
    <n v="0"/>
    <n v="2.4375"/>
    <n v="0"/>
    <n v="0"/>
    <n v="0.5"/>
    <n v="0"/>
    <n v="0"/>
    <n v="0"/>
    <n v="0"/>
    <n v="0"/>
    <n v="2.4375"/>
    <n v="0"/>
    <n v="0"/>
    <n v="0"/>
    <n v="0"/>
    <n v="0"/>
    <m/>
    <n v="0"/>
    <n v="0"/>
    <n v="0"/>
    <n v="0"/>
    <n v="0"/>
    <n v="0"/>
    <m/>
    <s v="Toussaint"/>
    <s v="De juridictine et senhoria"/>
    <s v="Castri Devesseti"/>
    <s v="Chanclausa, dans la maison de Johannis de Ponte sive Borola"/>
    <s v="Girandus Girandi de Pulinaco"/>
    <s v="Matheo Morelli subus de Ruppe Paula"/>
    <s v="Jacobo Morelli subus de Ruppe Paula"/>
    <s v="Petro Del Sapet"/>
    <m/>
    <m/>
    <m/>
  </r>
  <r>
    <n v="1641"/>
    <m/>
    <s v="Petrus"/>
    <s v="Picta"/>
    <s v="Sancto Agrippavio"/>
    <m/>
    <m/>
    <s v="Pro et nomine Bartholomee eius uxoris, filie Vitalis Mola de Sancto Agrippano condam"/>
    <s v="H"/>
    <n v="1343"/>
    <x v="0"/>
    <n v="4"/>
    <s v="Raynaud de Fay"/>
    <s v="Promisit esse fidelis domui Devesseti"/>
    <m/>
    <m/>
    <m/>
    <m/>
    <m/>
    <m/>
    <m/>
    <s v="Constractus emphiteotarii"/>
    <s v="Non"/>
    <n v="2"/>
    <n v="2"/>
    <s v="Non"/>
    <s v="Non"/>
    <s v="Non"/>
    <s v="Non"/>
    <s v="Oui"/>
    <s v="Non"/>
    <s v="Non"/>
    <s v="Non"/>
    <s v="Non"/>
    <s v="Non"/>
    <s v="Non"/>
    <s v="Non"/>
    <n v="1"/>
    <s v="Non"/>
    <s v="Non"/>
    <s v="Non"/>
    <n v="3"/>
    <s v="Non"/>
    <s v="Non"/>
    <s v="Non"/>
    <s v="Non"/>
    <n v="1"/>
    <s v="Non"/>
    <s v="Non"/>
    <s v="Non"/>
    <s v="Non"/>
    <s v="Non"/>
    <s v="Non"/>
    <s v="Non"/>
    <s v="Non"/>
    <s v="Non"/>
    <s v="Non"/>
    <s v="Non"/>
    <s v="Non"/>
    <s v="Non"/>
    <s v="Non"/>
    <s v="Non"/>
    <s v="Non"/>
    <s v="Non"/>
    <s v="Scellé à Lyon le 16 mars 1758 nem six folo"/>
    <s v="2 petiam terre + 2 ortum + ouchiam + tenementum + 3 petiam + 2 pratum"/>
    <m/>
    <m/>
    <s v="Devesset"/>
    <n v="0"/>
    <n v="0"/>
    <n v="0"/>
    <n v="0"/>
    <n v="0"/>
    <n v="1"/>
    <n v="0"/>
    <n v="0"/>
    <n v="0"/>
    <n v="0"/>
    <n v="0"/>
    <n v="19.5"/>
    <n v="0"/>
    <n v="0"/>
    <n v="3.5"/>
    <n v="0"/>
    <n v="0"/>
    <n v="0"/>
    <n v="0"/>
    <n v="0"/>
    <n v="17.0625"/>
    <n v="0"/>
    <n v="0"/>
    <n v="0"/>
    <n v="0"/>
    <n v="0"/>
    <m/>
    <n v="1.1666666666666667"/>
    <n v="1"/>
    <n v="0"/>
    <n v="0"/>
    <n v="1.2083333333333335"/>
    <n v="0"/>
    <m/>
    <s v="Toussaint"/>
    <s v="Mero et mixto imperio"/>
    <s v="De mandamento et infra mandamento et de juridictione castri Devesset"/>
    <s v="Devesset, in turre supra portam"/>
    <s v="Girandus Girandi de Pulinaco"/>
    <s v="Johanne Meruli"/>
    <s v="Vitale Comptoris"/>
    <s v="Mathei Morelli de Ruppepaula"/>
    <m/>
    <m/>
    <m/>
  </r>
  <r>
    <n v="511"/>
    <m/>
    <s v="Johanes"/>
    <s v="Pigassii "/>
    <s v="Del Mundo Sancti Martini"/>
    <m/>
    <m/>
    <s v="Nomine Johanete uxoris sue + Nomine Johanis et Mathei filiorum Guillermi de Mundo per sancti Martini de Tensano condam"/>
    <s v="H"/>
    <n v="1343"/>
    <x v="0"/>
    <n v="11"/>
    <s v="Raynaud de Fay"/>
    <s v="Homo-licgius, justitabilis et expletabilis"/>
    <s v="Talhabilis ad omnimodas voluntatis"/>
    <s v="Non"/>
    <s v="Oui"/>
    <s v="Oui"/>
    <s v="Oui"/>
    <s v="Non"/>
    <m/>
    <s v="Contractus emphiteotitarii"/>
    <n v="1"/>
    <n v="1"/>
    <s v="Oui"/>
    <s v="Non"/>
    <s v="Oui"/>
    <s v="Oui"/>
    <s v="Oui"/>
    <s v="Non"/>
    <s v="Non"/>
    <s v="Non"/>
    <s v="Non"/>
    <s v="Non"/>
    <s v="Non"/>
    <s v="Non"/>
    <s v="Non"/>
    <s v="Non"/>
    <s v="Non"/>
    <s v="Non"/>
    <s v="Non"/>
    <s v="Non"/>
    <s v="Non"/>
    <s v="Non"/>
    <s v="Non"/>
    <s v="Non"/>
    <s v="Non"/>
    <s v="Non"/>
    <s v="Non"/>
    <s v="Non"/>
    <s v="Non"/>
    <s v="Non"/>
    <s v="Non"/>
    <s v="Non"/>
    <s v="Non"/>
    <s v="Non"/>
    <s v="Non"/>
    <s v="Non"/>
    <s v="Non"/>
    <s v="Non"/>
    <s v="Non"/>
    <s v="Non"/>
    <s v="Non"/>
    <s v="Oui"/>
    <m/>
    <m/>
    <s v="Loco et territorio loci de Mundo"/>
    <s v="Femme + fils Guillermi de Mundo per Sancti Martini de Tensano"/>
    <s v="Borzeza"/>
    <n v="1"/>
    <n v="0"/>
    <n v="0"/>
    <n v="0"/>
    <n v="0"/>
    <n v="1"/>
    <n v="0"/>
    <n v="0"/>
    <n v="0"/>
    <n v="0"/>
    <n v="0"/>
    <n v="19.5"/>
    <n v="0"/>
    <n v="0"/>
    <n v="1.3333333333333333"/>
    <n v="0"/>
    <n v="0"/>
    <n v="0"/>
    <n v="0"/>
    <n v="0"/>
    <n v="6.5"/>
    <n v="0"/>
    <n v="0"/>
    <n v="0"/>
    <n v="0"/>
    <n v="0"/>
    <m/>
    <n v="3.3333333333333335"/>
    <n v="0"/>
    <n v="0"/>
    <n v="0"/>
    <n v="3.3333333333333335"/>
    <n v="0"/>
    <s v="Censu et talha"/>
    <s v="Toussaint"/>
    <m/>
    <s v="Castri Devesseti"/>
    <s v="Devesset, in turre supra portam"/>
    <s v="Girandus Girandi de Pulinaco"/>
    <s v="Unitenti de Romidras"/>
    <s v="Jacobo filio Johanis Malhorii"/>
    <m/>
    <m/>
    <m/>
    <s v="In quadam compositione olim facta inter dominum aniciensis episcopum et domum Devesseti"/>
  </r>
  <r>
    <n v="1821"/>
    <m/>
    <s v="Martinus"/>
    <s v="Pupart"/>
    <s v="Sancto Agrippavio"/>
    <s v="Habitator Sancti Agrippani"/>
    <s v="Filius Johannis Pupart"/>
    <s v="Nomine Michaelis eius fratris et Guigone eius sororis"/>
    <s v="H"/>
    <n v="1344"/>
    <x v="3"/>
    <n v="15"/>
    <s v="Raynaud de Fay"/>
    <m/>
    <m/>
    <m/>
    <m/>
    <m/>
    <m/>
    <m/>
    <m/>
    <s v="Constractus emphiteotarii"/>
    <s v="Non"/>
    <s v="Non"/>
    <s v="Non"/>
    <s v="Non"/>
    <s v="Oui"/>
    <s v="Non"/>
    <s v="Non"/>
    <s v="Non"/>
    <s v="Non"/>
    <s v="Non"/>
    <s v="Non"/>
    <s v="Non"/>
    <s v="Non"/>
    <s v="Non"/>
    <s v="Non"/>
    <s v="Non"/>
    <s v="Non"/>
    <s v="Non"/>
    <s v="Non"/>
    <s v="Non"/>
    <s v="Non"/>
    <s v="Non"/>
    <s v="Non"/>
    <s v="Non"/>
    <s v="Non"/>
    <s v="Non"/>
    <s v="Non"/>
    <s v="Non"/>
    <s v="Non"/>
    <s v="Non"/>
    <s v="Non"/>
    <s v="Non"/>
    <s v="Non"/>
    <s v="Non"/>
    <s v="Non"/>
    <s v="Non"/>
    <s v="Non"/>
    <s v="Non"/>
    <s v="Non"/>
    <s v="Non"/>
    <s v="Non"/>
    <s v="Non"/>
    <m/>
    <s v="Petiam nemoris"/>
    <m/>
    <s v="Frère et sœur"/>
    <s v="Devesset"/>
    <n v="0"/>
    <n v="0"/>
    <n v="0"/>
    <n v="0"/>
    <n v="0"/>
    <n v="0"/>
    <n v="0"/>
    <n v="0"/>
    <n v="0"/>
    <n v="0"/>
    <n v="0"/>
    <n v="0"/>
    <n v="0"/>
    <n v="0"/>
    <n v="0.5"/>
    <n v="0"/>
    <n v="0"/>
    <n v="0"/>
    <n v="0"/>
    <n v="0"/>
    <n v="2.4375"/>
    <n v="0"/>
    <n v="0"/>
    <n v="0"/>
    <n v="0"/>
    <n v="0"/>
    <m/>
    <n v="0"/>
    <n v="0"/>
    <n v="0"/>
    <n v="0"/>
    <n v="0"/>
    <n v="0"/>
    <m/>
    <s v="Toussaint"/>
    <m/>
    <m/>
    <s v="Devesset, in turre supra portam"/>
    <s v="Girandus Girandi de Pulinaco"/>
    <s v="Fratre Petro de Casalibus"/>
    <s v="Petro Martini de Hereone"/>
    <m/>
    <m/>
    <m/>
    <m/>
  </r>
  <r>
    <n v="1333"/>
    <m/>
    <s v="Stephanis"/>
    <s v="Raspant"/>
    <s v="Ruppe"/>
    <m/>
    <m/>
    <m/>
    <s v="H"/>
    <n v="1343"/>
    <x v="2"/>
    <n v="12"/>
    <s v="Raynaud de Fay"/>
    <m/>
    <m/>
    <m/>
    <m/>
    <m/>
    <m/>
    <m/>
    <m/>
    <m/>
    <s v="Non"/>
    <s v="Non"/>
    <s v="Non"/>
    <s v="Non"/>
    <n v="0.5"/>
    <s v="Non"/>
    <s v="Non"/>
    <n v="0.5"/>
    <s v="Non"/>
    <s v="Non"/>
    <s v="Non"/>
    <s v="Non"/>
    <s v="Non"/>
    <s v="Non"/>
    <s v="Non"/>
    <s v="Non"/>
    <s v="Non"/>
    <s v="Non"/>
    <s v="Non"/>
    <n v="0.5"/>
    <s v="Non"/>
    <s v="Non"/>
    <s v="Non"/>
    <s v="Non"/>
    <s v="Non"/>
    <s v="Non"/>
    <s v="Non"/>
    <s v="Non"/>
    <s v="Non"/>
    <s v="Non"/>
    <s v="Non"/>
    <s v="Non"/>
    <s v="Non"/>
    <s v="Non"/>
    <s v="Non"/>
    <s v="Non"/>
    <s v="Non"/>
    <s v="Non"/>
    <s v="Non"/>
    <s v="Non"/>
    <s v="Non"/>
    <s v="Non"/>
    <s v="Ut tenementi pro se et nomine quo supra"/>
    <s v="Medietatem petiam + medietatem terris + medietatem nemoris"/>
    <m/>
    <m/>
    <m/>
    <m/>
    <m/>
    <m/>
    <n v="0"/>
    <m/>
    <m/>
    <m/>
    <m/>
    <m/>
    <m/>
    <m/>
    <n v="0"/>
    <m/>
    <m/>
    <m/>
    <m/>
    <m/>
    <m/>
    <m/>
    <m/>
    <n v="0"/>
    <m/>
    <m/>
    <m/>
    <m/>
    <m/>
    <m/>
    <m/>
    <m/>
    <m/>
    <m/>
    <n v="0"/>
    <m/>
    <m/>
    <m/>
    <m/>
    <m/>
    <s v="Devesset, in turre supra portam"/>
    <s v="Girandus Girandi de Pulinaco"/>
    <m/>
    <m/>
    <m/>
    <m/>
    <m/>
    <m/>
  </r>
  <r>
    <n v="301"/>
    <m/>
    <s v="Johane"/>
    <s v="Raymundi de Macello"/>
    <s v="Les Reymons"/>
    <m/>
    <m/>
    <m/>
    <s v="H"/>
    <n v="1343"/>
    <x v="0"/>
    <n v="2"/>
    <s v="Raynaud de Fay"/>
    <m/>
    <m/>
    <s v="Non"/>
    <s v="Non"/>
    <s v="Non"/>
    <s v="Non"/>
    <s v="Non"/>
    <m/>
    <m/>
    <s v="Non"/>
    <s v="Non"/>
    <s v="Non"/>
    <s v="Oui"/>
    <s v="Non"/>
    <s v="Non"/>
    <s v="Oui"/>
    <s v="Non"/>
    <s v="Non"/>
    <s v="Non"/>
    <s v="Non"/>
    <s v="Non"/>
    <s v="Une partie"/>
    <s v="Non"/>
    <s v="Non"/>
    <s v="Non"/>
    <s v="Non"/>
    <s v="Non"/>
    <s v="Non"/>
    <s v="Non"/>
    <s v="Non"/>
    <s v="Non"/>
    <s v="Non"/>
    <s v="Non"/>
    <s v="Non"/>
    <s v="Non"/>
    <s v="Non"/>
    <s v="Non"/>
    <s v="Non"/>
    <s v="Non"/>
    <s v="Non"/>
    <s v="Non"/>
    <s v="Non"/>
    <s v="Non"/>
    <s v="Non"/>
    <s v="Non"/>
    <s v="Non"/>
    <s v="Non"/>
    <s v="Non"/>
    <s v="Non"/>
    <s v="Non"/>
    <s v="Non"/>
    <m/>
    <s v="Parte sue teritorii Dens Clotz + Parte calme vocate Dens Bayilh sita in territorio de Maysonetis"/>
    <m/>
    <m/>
    <s v="Tence"/>
    <n v="0"/>
    <n v="0"/>
    <n v="0"/>
    <n v="0"/>
    <n v="0"/>
    <n v="0"/>
    <n v="0"/>
    <n v="0"/>
    <n v="0"/>
    <n v="0"/>
    <n v="0"/>
    <n v="0"/>
    <n v="0"/>
    <n v="0"/>
    <n v="1"/>
    <n v="0"/>
    <n v="0"/>
    <n v="0"/>
    <n v="0"/>
    <n v="0"/>
    <n v="4.875"/>
    <n v="0"/>
    <n v="0"/>
    <n v="0"/>
    <n v="0"/>
    <n v="0"/>
    <s v="Autres"/>
    <n v="0.33333333333333331"/>
    <n v="0"/>
    <n v="3.5"/>
    <n v="0"/>
    <n v="0.40625"/>
    <n v="0"/>
    <m/>
    <s v="Toussaint"/>
    <s v="Merum et mixtum imperium "/>
    <s v="Mandamentum et juridictione castri seu loci de Chalmariais"/>
    <s v="Devesset, in turre supra portam"/>
    <s v="Girandus Girandi de Pulinaco"/>
    <s v="Armando de Villa Nova Devesseti"/>
    <s v="Petro Boata filio Johanis […]  de Tensano"/>
    <s v="Johanne de Laschalins"/>
    <m/>
    <m/>
    <m/>
  </r>
  <r>
    <n v="1731"/>
    <m/>
    <s v="Matheus"/>
    <s v="Rochandi"/>
    <s v="Chalmetis de Sanna"/>
    <m/>
    <m/>
    <m/>
    <s v="H"/>
    <n v="1343"/>
    <x v="6"/>
    <n v="8"/>
    <s v="Raynaud de Fay"/>
    <s v="Homo-licgius, justitabilis et expletabilis"/>
    <m/>
    <s v="Non"/>
    <s v="Oui"/>
    <s v="Oui"/>
    <s v="Oui"/>
    <s v="Non"/>
    <m/>
    <s v="Constractus emphiteotarii"/>
    <n v="1"/>
    <n v="2"/>
    <n v="1"/>
    <s v="Non"/>
    <s v="Non"/>
    <s v="Non"/>
    <s v="Non"/>
    <s v="Non"/>
    <s v="Non"/>
    <s v="Non"/>
    <s v="Non"/>
    <s v="Non"/>
    <s v="Non"/>
    <s v="Non"/>
    <s v="Non"/>
    <s v="Non"/>
    <s v="Non"/>
    <s v="Non"/>
    <s v="Non"/>
    <n v="5"/>
    <s v="Non"/>
    <s v="Non"/>
    <s v="Non"/>
    <s v="Non"/>
    <s v="Non"/>
    <s v="Non"/>
    <s v="Non"/>
    <s v="Non"/>
    <s v="Non"/>
    <s v="Non"/>
    <s v="Non"/>
    <s v="Non"/>
    <s v="Non"/>
    <s v="Non"/>
    <s v="Non"/>
    <s v="Non"/>
    <s v="Non"/>
    <s v="Non"/>
    <s v="Non"/>
    <s v="Non"/>
    <s v="Non"/>
    <s v="Non"/>
    <m/>
    <s v="1 domum + 2 ortum + 5 petiam + pratum"/>
    <m/>
    <m/>
    <s v="Borzeza"/>
    <n v="0.5"/>
    <n v="0"/>
    <n v="0"/>
    <n v="0"/>
    <n v="0"/>
    <n v="0"/>
    <n v="1.1666666666666667"/>
    <n v="0"/>
    <n v="0"/>
    <n v="0"/>
    <n v="0"/>
    <n v="5.6875"/>
    <n v="0"/>
    <n v="0"/>
    <n v="1.1666666666666667"/>
    <n v="0"/>
    <n v="0"/>
    <n v="0"/>
    <n v="0"/>
    <n v="0"/>
    <n v="5.6875"/>
    <n v="0"/>
    <n v="0"/>
    <n v="0"/>
    <n v="0"/>
    <n v="0"/>
    <m/>
    <n v="1"/>
    <n v="0"/>
    <n v="0"/>
    <n v="0"/>
    <n v="1"/>
    <n v="0"/>
    <s v="Talha"/>
    <s v="Toussaint"/>
    <m/>
    <m/>
    <s v="Devesset, in turre supra portam"/>
    <s v="Girandus Girandi de Pulinaco"/>
    <s v="Johanne de Podio Garneir"/>
    <s v="Guillermus del Cros de Ruppe"/>
    <m/>
    <m/>
    <m/>
    <m/>
  </r>
  <r>
    <n v="1762"/>
    <m/>
    <s v="Guillermus"/>
    <s v="Rocheta"/>
    <s v="Sancto Agrippavio"/>
    <m/>
    <s v="Nobilis + domicelli"/>
    <m/>
    <s v="H"/>
    <n v="1343"/>
    <x v="2"/>
    <n v="1"/>
    <s v="Raynaud de Fay"/>
    <m/>
    <m/>
    <m/>
    <m/>
    <m/>
    <m/>
    <m/>
    <m/>
    <s v="Constractus emphiteotarii"/>
    <s v="Non"/>
    <s v="Non"/>
    <n v="2"/>
    <s v="Non"/>
    <s v="Non"/>
    <s v="Non"/>
    <s v="Non"/>
    <s v="Non"/>
    <s v="Non"/>
    <s v="Non"/>
    <s v="Non"/>
    <s v="Non"/>
    <s v="Non"/>
    <s v="Non"/>
    <s v="Non"/>
    <s v="Non"/>
    <s v="Non"/>
    <s v="Non"/>
    <s v="Non"/>
    <s v="Non"/>
    <s v="Non"/>
    <s v="Non"/>
    <s v="Non"/>
    <s v="Non"/>
    <s v="Non"/>
    <s v="Non"/>
    <s v="Non"/>
    <s v="Non"/>
    <s v="Non"/>
    <s v="Non"/>
    <s v="Non"/>
    <s v="Non"/>
    <s v="Non"/>
    <s v="Non"/>
    <s v="Non"/>
    <s v="Non"/>
    <s v="Non"/>
    <s v="Non"/>
    <s v="Non"/>
    <s v="Non"/>
    <s v="Non"/>
    <s v="Non"/>
    <m/>
    <s v="2 pratum"/>
    <m/>
    <m/>
    <m/>
    <n v="0"/>
    <n v="0"/>
    <n v="0"/>
    <n v="0"/>
    <n v="0"/>
    <n v="0"/>
    <n v="0"/>
    <n v="0"/>
    <n v="0"/>
    <n v="0"/>
    <n v="0"/>
    <n v="0"/>
    <n v="0"/>
    <n v="0"/>
    <n v="0"/>
    <n v="0"/>
    <n v="0"/>
    <n v="0"/>
    <n v="0"/>
    <n v="0"/>
    <n v="0"/>
    <n v="0"/>
    <n v="0"/>
    <n v="0"/>
    <n v="0"/>
    <n v="0"/>
    <s v="2 pratum"/>
    <n v="1.5"/>
    <n v="0"/>
    <n v="0"/>
    <n v="0"/>
    <n v="1.5"/>
    <n v="0"/>
    <m/>
    <s v="Toussaint"/>
    <s v="Debeaque et alta"/>
    <s v="De omnimoda juridictione domus Devesseti"/>
    <s v="Saint-Agrève, in domo magistri Andree Garalis"/>
    <s v="Girandus Girandi de Pulinaco"/>
    <s v="Magistro Andree Garalis"/>
    <s v="Poncio Galhofa"/>
    <s v="Johanne de Croseto"/>
    <m/>
    <m/>
    <m/>
  </r>
  <r>
    <n v="1181"/>
    <m/>
    <s v="Petrus"/>
    <s v="Rocurliolis"/>
    <s v="Chantaloba"/>
    <m/>
    <m/>
    <m/>
    <s v="H"/>
    <n v="1344"/>
    <x v="3"/>
    <n v="4"/>
    <s v="Raynaud de Fay"/>
    <m/>
    <m/>
    <m/>
    <m/>
    <m/>
    <m/>
    <m/>
    <m/>
    <s v="Constractus emphiteo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25"/>
    <n v="0"/>
    <n v="1"/>
    <n v="0"/>
    <n v="0.27083333333333331"/>
    <n v="0"/>
    <m/>
    <s v="Toussaint"/>
    <s v="De juridictione"/>
    <s v="Castri Devesseti"/>
    <s v="Devesset, in turre supra portam"/>
    <s v="Girandus Girandi de Pulinaco"/>
    <s v="G. Gastonis domicellis"/>
    <s v="Andree de Galibertis"/>
    <m/>
    <m/>
    <m/>
    <s v="In compositione inter domus Devesseti et Guillermi de Pictano"/>
  </r>
  <r>
    <n v="1342"/>
    <s v="Page dure à lire"/>
    <s v="Johannes"/>
    <s v="Roerii"/>
    <s v="Ruppe"/>
    <m/>
    <m/>
    <s v="Nomine Peyruchonis Roerii et Bartholomei Roerii de Ruppe eius fratrum + Caterine eius uxor"/>
    <s v="H"/>
    <n v="1343"/>
    <x v="2"/>
    <n v="12"/>
    <s v="Raynaud de Fay"/>
    <s v="Homines-licgius et mulieres-licgia, justitabiles et expletabiles"/>
    <m/>
    <s v="Non"/>
    <s v="Oui"/>
    <s v="Oui"/>
    <s v="Oui"/>
    <s v="Non"/>
    <s v="Avec bœufs et animaux"/>
    <m/>
    <s v="Non"/>
    <n v="1"/>
    <n v="2"/>
    <s v="Non"/>
    <n v="2"/>
    <s v="Non"/>
    <s v="Non"/>
    <s v="Non"/>
    <s v="Non"/>
    <s v="Non"/>
    <s v="Non"/>
    <s v="Non"/>
    <s v="Non"/>
    <s v="Non"/>
    <s v="Non"/>
    <s v="Non"/>
    <s v="Non"/>
    <s v="Oui"/>
    <s v="Non"/>
    <s v="Oui"/>
    <s v="Non"/>
    <s v="Non"/>
    <s v="Non"/>
    <s v="Non"/>
    <s v="Non"/>
    <s v="Non"/>
    <s v="Non"/>
    <s v="Non"/>
    <s v="Non"/>
    <s v="Non"/>
    <s v="Non"/>
    <s v="Non"/>
    <s v="Non"/>
    <s v="Non"/>
    <s v="Non"/>
    <s v="Non"/>
    <s v="Non"/>
    <s v="Non"/>
    <s v="Non"/>
    <s v="Non"/>
    <s v="Non"/>
    <s v="Non"/>
    <m/>
    <s v="1 domus + 1 partem pasturalium commune + 2 prati + 8 petiae + 2 nemus"/>
    <m/>
    <s v="Frères + femmes"/>
    <s v="Devesset"/>
    <n v="1"/>
    <n v="0"/>
    <n v="0"/>
    <n v="0"/>
    <n v="0"/>
    <n v="0"/>
    <n v="1"/>
    <n v="0"/>
    <n v="0"/>
    <n v="1"/>
    <n v="0"/>
    <n v="6.09375"/>
    <n v="0"/>
    <n v="0"/>
    <n v="0"/>
    <n v="1"/>
    <n v="0"/>
    <n v="0"/>
    <n v="0"/>
    <n v="0"/>
    <n v="2.4375"/>
    <n v="0"/>
    <n v="0"/>
    <n v="0"/>
    <n v="0"/>
    <n v="0"/>
    <s v="Pupardo"/>
    <n v="4.416666666666667"/>
    <n v="0"/>
    <n v="0"/>
    <n v="1"/>
    <n v="4.4375"/>
    <n v="0"/>
    <s v="Censu et talha"/>
    <s v="Toussaint"/>
    <s v="Mero et mixto imperio"/>
    <s v="De juridictione omnimoda et de mandamentum domus Devesseti"/>
    <s v="Devesset, in turre supra portam"/>
    <s v="Girandus Girandi de Pulinaco"/>
    <s v="Petro de Ruppe"/>
    <s v="Al' Malpinha"/>
    <s v="Johanne Sabaterii de Chambone"/>
    <m/>
    <m/>
    <m/>
  </r>
  <r>
    <n v="1343"/>
    <m/>
    <s v="Jacmeta"/>
    <s v="Roerii"/>
    <s v="Ruppe"/>
    <m/>
    <s v="Uxor Peyrochonis Roerii"/>
    <m/>
    <s v="F"/>
    <n v="1343"/>
    <x v="2"/>
    <n v="12"/>
    <s v="Raynaud de Fay"/>
    <s v="Mulier-licgia, justitabilis et expletabilis"/>
    <m/>
    <s v="Non"/>
    <s v="Oui"/>
    <s v="Oui"/>
    <s v="Oui"/>
    <s v="Non"/>
    <m/>
    <m/>
    <n v="1"/>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s v="2 ortum + 2 prati"/>
    <m/>
    <m/>
    <m/>
    <n v="0"/>
    <n v="0"/>
    <n v="0"/>
    <n v="0"/>
    <n v="0"/>
    <n v="0"/>
    <n v="0"/>
    <n v="0"/>
    <n v="0"/>
    <n v="0"/>
    <n v="0"/>
    <n v="0"/>
    <n v="0"/>
    <n v="0"/>
    <n v="0"/>
    <n v="0"/>
    <n v="0"/>
    <n v="0"/>
    <m/>
    <n v="0"/>
    <n v="0"/>
    <n v="0"/>
    <n v="0"/>
    <n v="0"/>
    <n v="0"/>
    <n v="0"/>
    <m/>
    <n v="0.75"/>
    <n v="0"/>
    <n v="0"/>
    <n v="0"/>
    <n v="0.75"/>
    <n v="0"/>
    <m/>
    <m/>
    <s v="Mero et mixto imperio"/>
    <s v="De juridictione omnimoda et de mandamentum castri Devesseti"/>
    <m/>
    <s v="Girandus Girandi de Pulinaco"/>
    <m/>
    <m/>
    <m/>
    <m/>
    <m/>
    <m/>
  </r>
  <r>
    <n v="1722"/>
    <m/>
    <s v="Petrus"/>
    <s v="Rouchonis de Sancto Agrippano"/>
    <s v="La Rocha"/>
    <s v="Habitator loci del Fay"/>
    <m/>
    <m/>
    <s v="H"/>
    <n v="1343"/>
    <x v="0"/>
    <n v="23"/>
    <s v="Raynaud de Fay"/>
    <s v="Promisit esse bonus et fidelis tenementarius domus Devesseti"/>
    <m/>
    <m/>
    <m/>
    <m/>
    <m/>
    <m/>
    <m/>
    <s v="Constractus emphiteotarii"/>
    <s v="Non"/>
    <s v="Non"/>
    <s v="Oui"/>
    <s v="Non"/>
    <s v="Non"/>
    <s v="Non"/>
    <s v="Non"/>
    <s v="Oui"/>
    <s v="Non"/>
    <s v="Non"/>
    <s v="Non"/>
    <s v="Non"/>
    <s v="Non"/>
    <s v="Non"/>
    <s v="Non"/>
    <s v="Non"/>
    <s v="Non"/>
    <s v="Non"/>
    <s v="Non"/>
    <s v="Non"/>
    <s v="Non"/>
    <s v="Non"/>
    <s v="Non"/>
    <s v="Non"/>
    <s v="Non"/>
    <s v="Non"/>
    <s v="Non"/>
    <s v="Non"/>
    <s v="Non"/>
    <s v="Non"/>
    <s v="Non"/>
    <s v="Non"/>
    <s v="Non"/>
    <s v="Non"/>
    <s v="Non"/>
    <s v="Non"/>
    <s v="Non"/>
    <s v="Non"/>
    <s v="Non"/>
    <s v="Non"/>
    <s v="Non"/>
    <s v="Non"/>
    <m/>
    <s v="Duas partes prati et terre"/>
    <m/>
    <m/>
    <m/>
    <n v="0"/>
    <n v="0"/>
    <n v="0"/>
    <n v="0"/>
    <n v="0"/>
    <n v="0"/>
    <n v="0"/>
    <n v="0"/>
    <n v="0"/>
    <n v="0"/>
    <n v="0"/>
    <n v="0"/>
    <n v="0"/>
    <n v="0"/>
    <n v="0"/>
    <n v="0"/>
    <n v="0"/>
    <n v="0"/>
    <n v="0"/>
    <n v="0"/>
    <n v="0"/>
    <n v="0"/>
    <n v="0"/>
    <n v="0"/>
    <n v="0"/>
    <n v="0"/>
    <m/>
    <n v="0.41666666666666669"/>
    <n v="0"/>
    <n v="0"/>
    <n v="0"/>
    <n v="0.41666666666666669"/>
    <n v="0"/>
    <m/>
    <s v="Toussaint"/>
    <m/>
    <s v="In mandamento et infra mandamentum castri Devesseti"/>
    <s v="Devesset, infra fortalicium"/>
    <s v="Girandus Girandi de Pulinaco"/>
    <s v="Thoma Chanbonant"/>
    <s v="Egidio Blachonis"/>
    <s v="Vitale Garnerii de Masalibrant"/>
    <m/>
    <m/>
    <m/>
  </r>
  <r>
    <n v="1711"/>
    <m/>
    <s v="Johennes"/>
    <s v="Ruelli"/>
    <s v="Furnis"/>
    <m/>
    <m/>
    <m/>
    <s v="H"/>
    <n v="1343"/>
    <x v="0"/>
    <n v="16"/>
    <s v="Raynaud de Fay"/>
    <m/>
    <m/>
    <s v="Non"/>
    <s v="Oui"/>
    <s v="Non"/>
    <s v="Oui"/>
    <s v="Non"/>
    <m/>
    <m/>
    <s v="Non"/>
    <s v="Non"/>
    <n v="3"/>
    <s v="Non"/>
    <n v="2"/>
    <s v="Non"/>
    <s v="Non"/>
    <s v="Oui"/>
    <s v="Non"/>
    <s v="Non"/>
    <s v="Non"/>
    <s v="Non"/>
    <s v="Non"/>
    <s v="Non"/>
    <s v="Non"/>
    <s v="Non"/>
    <s v="Non"/>
    <s v="Non"/>
    <s v="Non"/>
    <n v="11"/>
    <s v="Non"/>
    <s v="Non"/>
    <s v="Non"/>
    <s v="Non"/>
    <s v="Non"/>
    <s v="Non"/>
    <s v="Non"/>
    <s v="Non"/>
    <s v="Non"/>
    <s v="Non"/>
    <s v="Non"/>
    <s v="Non"/>
    <s v="Non"/>
    <s v="Non"/>
    <s v="Non"/>
    <s v="Non"/>
    <s v="Non"/>
    <s v="Non"/>
    <s v="Non"/>
    <s v="Non"/>
    <s v="Non"/>
    <s v="Oui"/>
    <m/>
    <s v="11 petiam + meytenchadam terre + 2 nemus + partem mansi + 3 pratum + possessiones"/>
    <s v="Territorio de Chanils"/>
    <m/>
    <s v="Fay"/>
    <n v="0"/>
    <n v="0"/>
    <n v="0"/>
    <n v="0"/>
    <n v="0"/>
    <n v="0"/>
    <n v="3.5"/>
    <n v="1"/>
    <n v="0"/>
    <n v="0"/>
    <n v="0"/>
    <n v="19.5"/>
    <n v="0"/>
    <n v="0"/>
    <n v="0.5"/>
    <n v="0"/>
    <n v="1"/>
    <n v="0"/>
    <n v="0"/>
    <n v="0"/>
    <n v="12.1875"/>
    <n v="0"/>
    <n v="0"/>
    <n v="0"/>
    <n v="0"/>
    <n v="0"/>
    <m/>
    <n v="3.9166666666666665"/>
    <n v="1"/>
    <n v="0"/>
    <n v="0"/>
    <n v="3.958333333333333"/>
    <n v="0"/>
    <m/>
    <s v="Toussaint"/>
    <m/>
    <m/>
    <s v="Devesset, sub estram"/>
    <s v="Girandus Girandi de Pulinaco"/>
    <s v="Fratre Johanne Meruli"/>
    <s v="Johanne Barerii"/>
    <s v="Poncio de Chanils"/>
    <m/>
    <m/>
    <m/>
  </r>
  <r>
    <n v="1502"/>
    <m/>
    <s v="Luca"/>
    <s v="Ruelli"/>
    <s v="Villalonia"/>
    <m/>
    <s v="Filia Petri Ruelli de Villalonia condam"/>
    <m/>
    <s v="F"/>
    <n v="1342"/>
    <x v="3"/>
    <s v="?"/>
    <s v="Raynaud de Fay"/>
    <m/>
    <m/>
    <m/>
    <m/>
    <m/>
    <m/>
    <m/>
    <m/>
    <s v="Constractus emphiteotarii"/>
    <s v="Non"/>
    <n v="1"/>
    <s v="Non"/>
    <s v="Non"/>
    <s v="Non"/>
    <s v="Non"/>
    <s v="Non"/>
    <s v="Non"/>
    <n v="1"/>
    <s v="Non"/>
    <s v="Non"/>
    <s v="Non"/>
    <s v="Non"/>
    <s v="Non"/>
    <s v="Non"/>
    <s v="Non"/>
    <s v="Non"/>
    <s v="Non"/>
    <s v="Non"/>
    <s v="Non"/>
    <s v="Non"/>
    <s v="Non"/>
    <s v="Non"/>
    <s v="Non"/>
    <s v="Non"/>
    <s v="Non"/>
    <s v="Non"/>
    <s v="Non"/>
    <s v="Non"/>
    <s v="Non"/>
    <s v="Non"/>
    <s v="Non"/>
    <s v="Non"/>
    <s v="Non"/>
    <s v="Non"/>
    <s v="Non"/>
    <s v="Non"/>
    <s v="Non"/>
    <s v="Non"/>
    <s v="Non"/>
    <s v="Non"/>
    <s v="Non"/>
    <m/>
    <s v="Ortum + casale"/>
    <m/>
    <m/>
    <m/>
    <n v="0"/>
    <n v="0"/>
    <n v="0"/>
    <n v="0"/>
    <n v="0"/>
    <n v="0"/>
    <n v="0"/>
    <n v="0"/>
    <n v="0"/>
    <n v="0"/>
    <n v="0"/>
    <n v="0"/>
    <n v="0"/>
    <n v="0"/>
    <n v="0"/>
    <n v="0"/>
    <n v="0"/>
    <n v="0"/>
    <n v="0"/>
    <n v="0"/>
    <n v="0"/>
    <n v="0"/>
    <n v="0"/>
    <n v="0"/>
    <n v="0"/>
    <n v="0"/>
    <s v="Casale + ortum"/>
    <n v="0.25"/>
    <n v="0"/>
    <n v="0"/>
    <n v="0"/>
    <n v="0.25"/>
    <n v="0"/>
    <m/>
    <s v="Toussaint"/>
    <m/>
    <m/>
    <s v="Devesset, in quoquina"/>
    <s v="Girandus Girandi de Pulinaco"/>
    <s v="Petro de Casalibus"/>
    <s v="Johanne Meruli"/>
    <s v="Petro Del Cros"/>
    <m/>
    <m/>
    <m/>
  </r>
  <r>
    <n v="1503"/>
    <m/>
    <s v="Andree"/>
    <s v="Ruelli"/>
    <s v="Villa Longia"/>
    <m/>
    <s v="Filius Jacobi Ruelli de Villa Longia"/>
    <s v="Pro ac nomine Jacobi Ruelli eius fratris"/>
    <s v="H"/>
    <n v="1345"/>
    <x v="10"/>
    <n v="6"/>
    <s v="Raynaud de Fay"/>
    <s v="Promisit esse hominem licgium"/>
    <m/>
    <m/>
    <m/>
    <m/>
    <m/>
    <m/>
    <m/>
    <s v="Constractus emphiteotarii"/>
    <s v="Non"/>
    <n v="3"/>
    <s v="Non"/>
    <s v="Non"/>
    <s v="Non"/>
    <s v="Non"/>
    <s v="Non"/>
    <s v="Oui"/>
    <n v="1"/>
    <s v="Non"/>
    <s v="Non"/>
    <s v="Non"/>
    <s v="Non"/>
    <s v="Non"/>
    <s v="Non"/>
    <s v="Non"/>
    <s v="Non"/>
    <s v="Non"/>
    <s v="Non"/>
    <s v="Non"/>
    <s v="Non"/>
    <s v="Non"/>
    <s v="Non"/>
    <s v="Non"/>
    <s v="Non"/>
    <s v="Non"/>
    <s v="Non"/>
    <s v="Non"/>
    <s v="Non"/>
    <s v="Non"/>
    <s v="Non"/>
    <s v="Non"/>
    <s v="Non"/>
    <s v="Non"/>
    <s v="Non"/>
    <s v="Non"/>
    <s v="Non"/>
    <s v="Non"/>
    <s v="Non"/>
    <s v="Non"/>
    <s v="Non"/>
    <s v="Non"/>
    <m/>
    <s v="Casale + 3 ortum + meitenchadam terre"/>
    <m/>
    <s v="Frère"/>
    <m/>
    <n v="1"/>
    <n v="0"/>
    <n v="0"/>
    <n v="0"/>
    <n v="0"/>
    <n v="0"/>
    <n v="0"/>
    <n v="0"/>
    <n v="0"/>
    <n v="0"/>
    <n v="0"/>
    <n v="0"/>
    <n v="0"/>
    <n v="0"/>
    <n v="0"/>
    <n v="0"/>
    <n v="0"/>
    <n v="0"/>
    <n v="0"/>
    <n v="0"/>
    <n v="0"/>
    <n v="0"/>
    <n v="0"/>
    <n v="0"/>
    <n v="0"/>
    <n v="0"/>
    <m/>
    <n v="0.75"/>
    <n v="0"/>
    <n v="0"/>
    <n v="0"/>
    <n v="0.75"/>
    <n v="0"/>
    <m/>
    <s v="Toussaint"/>
    <m/>
    <m/>
    <s v="Devesset"/>
    <s v="Girandus Girandi de Pulinaco"/>
    <s v="Andree de Julibertis"/>
    <s v="Johanneto Chambonant de Chalmariais"/>
    <s v="Johaneito Meruli"/>
    <m/>
    <m/>
    <m/>
  </r>
  <r>
    <n v="863"/>
    <s v="Marge illisible"/>
    <s v="Guillometa"/>
    <s v="Sama"/>
    <s v="Chanclausa"/>
    <s v="Parrochie de Chanclausa"/>
    <m/>
    <m/>
    <s v="F"/>
    <n v="1343"/>
    <x v="1"/>
    <n v="29"/>
    <s v="Raynaud de Fay"/>
    <m/>
    <m/>
    <m/>
    <m/>
    <m/>
    <m/>
    <m/>
    <m/>
    <m/>
    <s v="Non"/>
    <s v="Non"/>
    <n v="1"/>
    <s v="Non"/>
    <s v="Non"/>
    <s v="Non"/>
    <n v="1"/>
    <s v="Non"/>
    <s v="Non"/>
    <s v="Non"/>
    <s v="Non"/>
    <s v="Non"/>
    <s v="Non"/>
    <s v="Non"/>
    <s v="Non"/>
    <s v="Non"/>
    <s v="Non"/>
    <s v="Non"/>
    <s v="Non"/>
    <s v="Non"/>
    <s v="Non"/>
    <s v="Non"/>
    <s v="Non"/>
    <s v="Non"/>
    <s v="Non"/>
    <s v="Non"/>
    <s v="Non"/>
    <s v="Non"/>
    <s v="Non"/>
    <s v="Non"/>
    <s v="Non"/>
    <s v="Non"/>
    <s v="Non"/>
    <s v="Non"/>
    <s v="Non"/>
    <s v="Non"/>
    <s v="Non"/>
    <s v="Non"/>
    <s v="Non"/>
    <s v="Non"/>
    <s v="Non"/>
    <s v="Non"/>
    <m/>
    <s v="Pratum + Pasturale"/>
    <m/>
    <m/>
    <s v="Fay"/>
    <n v="0"/>
    <n v="0"/>
    <n v="0"/>
    <n v="0"/>
    <n v="0"/>
    <n v="0"/>
    <n v="1.5"/>
    <n v="0"/>
    <n v="0"/>
    <n v="0"/>
    <n v="0"/>
    <n v="7.3125"/>
    <n v="0"/>
    <n v="0"/>
    <n v="1.5"/>
    <n v="0"/>
    <n v="0"/>
    <n v="0"/>
    <n v="0"/>
    <n v="0"/>
    <n v="7.3125"/>
    <n v="0"/>
    <n v="0"/>
    <n v="0"/>
    <n v="0"/>
    <n v="0"/>
    <s v="Pratum + Pasturale"/>
    <n v="1.6666666666666667"/>
    <n v="0"/>
    <n v="0"/>
    <n v="0"/>
    <n v="1.6666666666666667"/>
    <n v="0"/>
    <m/>
    <s v="Toussaint"/>
    <s v="De juridictione et censima"/>
    <s v="Castri Devesseti"/>
    <s v="Chanclausa, dans la maison de Johannis de Ponte sive Borola"/>
    <s v="Girandus Girandi de Pulinaco"/>
    <s v="Matheo Morelli subus de Ruppe Paula"/>
    <s v="Jacobo Morelli subus de Ruppe Paula"/>
    <s v="Petro Del Sapet"/>
    <m/>
    <m/>
    <m/>
  </r>
  <r>
    <n v="781"/>
    <m/>
    <s v="Petrus"/>
    <s v="Samuel de Sapeto"/>
    <s v="Del Sape"/>
    <m/>
    <m/>
    <s v="Pro ac nomine Petri Blanchardu de Sapeto eius nepotis"/>
    <s v="H"/>
    <n v="1343"/>
    <x v="6"/>
    <n v="14"/>
    <s v="Raynaud de Fay"/>
    <s v="Homo-licgius, justitabilis et expletabilis"/>
    <s v="Talhabilis ad omnimodas voluntatis"/>
    <s v="Non"/>
    <s v="Oui"/>
    <s v="Oui"/>
    <s v="Oui"/>
    <s v="Non"/>
    <m/>
    <s v="Contractus emphiteotitarii"/>
    <s v="Oui"/>
    <s v="Oui"/>
    <s v="Oui"/>
    <s v="Non"/>
    <s v="Non"/>
    <s v="Oui"/>
    <s v="Oui"/>
    <s v="Oui"/>
    <s v="Oui"/>
    <s v="Oui"/>
    <s v="Non"/>
    <s v="Non"/>
    <s v="Non"/>
    <s v="Non"/>
    <s v="Non"/>
    <s v="Non"/>
    <s v="Non"/>
    <s v="Non"/>
    <s v="Non"/>
    <s v="Non"/>
    <s v="Non"/>
    <s v="Non"/>
    <s v="Non"/>
    <s v="Non"/>
    <s v="Non"/>
    <s v="Non"/>
    <s v="Non"/>
    <s v="Non"/>
    <s v="Non"/>
    <s v="Non"/>
    <s v="Non"/>
    <s v="Non"/>
    <s v="Non"/>
    <s v="Non"/>
    <s v="Non"/>
    <s v="Non"/>
    <s v="Non"/>
    <s v="Non"/>
    <s v="Non"/>
    <s v="Non"/>
    <s v="Non"/>
    <s v="Oui"/>
    <m/>
    <s v="Domos + possessiones"/>
    <s v="Loco et territorio Del Sape"/>
    <s v="Neveu"/>
    <s v="Pas de mesure de céréale"/>
    <n v="2"/>
    <n v="0"/>
    <n v="0"/>
    <n v="0"/>
    <n v="1"/>
    <n v="0"/>
    <n v="0"/>
    <n v="0"/>
    <n v="1"/>
    <n v="0"/>
    <n v="0"/>
    <n v="48.75"/>
    <n v="0"/>
    <n v="1"/>
    <n v="0"/>
    <n v="0"/>
    <n v="0"/>
    <n v="0"/>
    <n v="0"/>
    <n v="0"/>
    <n v="19.5"/>
    <n v="0"/>
    <n v="0"/>
    <n v="0"/>
    <n v="0"/>
    <n v="0"/>
    <s v="Decima"/>
    <n v="0.91666666666666663"/>
    <n v="0"/>
    <n v="0"/>
    <n v="0"/>
    <n v="0.91666666666666663"/>
    <n v="0"/>
    <m/>
    <s v="Toussaint"/>
    <m/>
    <s v="De juridictione castri Devesseti"/>
    <s v="Devesset, in turre supra portam"/>
    <s v="Girandus Girandi de Pulinaco"/>
    <s v="Guillermo Blacha domicelli"/>
    <s v="Johane Chambo"/>
    <s v="Petro Malpinha"/>
    <m/>
    <m/>
    <s v="In quadam compositione olim facta inter dominum aniciensis episcopum et domum Devesseti"/>
  </r>
  <r>
    <n v="883"/>
    <m/>
    <s v="Johannes"/>
    <s v="Sanhas"/>
    <s v="Podio Brunent"/>
    <s v="Habite Chantilhac"/>
    <s v="al' Cardini de Chantilhac"/>
    <m/>
    <s v="H"/>
    <n v="1343"/>
    <x v="2"/>
    <n v="1"/>
    <s v="Raynaud de Fay"/>
    <m/>
    <m/>
    <m/>
    <m/>
    <m/>
    <m/>
    <m/>
    <m/>
    <m/>
    <s v="Non"/>
    <s v="Non"/>
    <s v="Oui"/>
    <s v="Non"/>
    <s v="Non"/>
    <s v="Non"/>
    <s v="Non"/>
    <s v="Non"/>
    <s v="Non"/>
    <s v="Non"/>
    <s v="Non"/>
    <s v="Non"/>
    <s v="Non"/>
    <s v="Non"/>
    <s v="Oui"/>
    <s v="Non"/>
    <s v="Non"/>
    <s v="Non"/>
    <s v="Non"/>
    <s v="Non"/>
    <s v="Non"/>
    <s v="Non"/>
    <s v="Non"/>
    <s v="Non"/>
    <s v="Non"/>
    <s v="Non"/>
    <s v="Non"/>
    <s v="Non"/>
    <s v="Non"/>
    <s v="Non"/>
    <s v="Non"/>
    <s v="Non"/>
    <s v="Non"/>
    <s v="Non"/>
    <s v="Non"/>
    <s v="Non"/>
    <s v="Non"/>
    <s v="Non"/>
    <s v="Non"/>
    <s v="Non"/>
    <s v="Non"/>
    <s v="Non"/>
    <m/>
    <m/>
    <s v="Terra de Podio Brenent"/>
    <m/>
    <s v="Fay"/>
    <n v="0"/>
    <n v="0"/>
    <n v="0"/>
    <n v="0"/>
    <n v="0"/>
    <n v="0"/>
    <n v="0"/>
    <n v="0"/>
    <n v="0"/>
    <n v="0"/>
    <n v="0"/>
    <n v="0"/>
    <n v="0"/>
    <n v="0"/>
    <n v="1"/>
    <n v="0"/>
    <n v="0"/>
    <n v="0"/>
    <n v="0"/>
    <n v="0"/>
    <n v="4.875"/>
    <n v="0"/>
    <n v="0"/>
    <n v="0"/>
    <n v="0"/>
    <n v="0"/>
    <m/>
    <n v="0"/>
    <n v="0"/>
    <n v="0"/>
    <n v="0"/>
    <n v="0"/>
    <n v="0"/>
    <m/>
    <s v="Toussaint"/>
    <m/>
    <m/>
    <s v="Saint-Agrève, dans la maison de Granerui de Saint-Agrève"/>
    <s v="Girandus Girandi de Pulinaco"/>
    <s v="Fratre Johanne Meruli"/>
    <s v="Guillermo La Famia"/>
    <s v="Guigore de Pome de Sancti Agreppavii"/>
    <m/>
    <m/>
    <m/>
  </r>
  <r>
    <n v="1171"/>
    <m/>
    <s v="Johannes"/>
    <s v="Sanhas"/>
    <s v="Brusco"/>
    <m/>
    <s v="Filius Martonis Sanhas De Brusco"/>
    <m/>
    <s v="H"/>
    <n v="1343"/>
    <x v="2"/>
    <n v="13"/>
    <s v="Raynaud de Fay"/>
    <s v="Promisit esse fidelis tenementarius domus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33333333333333331"/>
    <n v="1"/>
    <n v="0"/>
    <n v="0"/>
    <n v="0.375"/>
    <n v="0"/>
    <m/>
    <s v="Toussaint"/>
    <m/>
    <m/>
    <s v="Devesset, in quoquina"/>
    <s v="Girandus Girandi de Pulinaco"/>
    <s v="Fratre Johanne Meruli"/>
    <s v="Petro Maipino"/>
    <s v="Guillermo Grosseti"/>
    <m/>
    <m/>
    <m/>
  </r>
  <r>
    <n v="231"/>
    <m/>
    <s v="Matheus"/>
    <s v="Segureti del Cosimi"/>
    <s v="Chalmariais"/>
    <m/>
    <m/>
    <m/>
    <s v="H"/>
    <n v="1343"/>
    <x v="5"/>
    <n v="31"/>
    <s v="Renaud de Fay"/>
    <s v="Homo-licgius, justitabilis et expletabilis"/>
    <s v="Talhabilis ad omnimodas voluntatis"/>
    <s v="Non"/>
    <s v="Oui"/>
    <s v="Oui"/>
    <s v="Oui"/>
    <s v="Non"/>
    <m/>
    <s v="Contractus emphiteotitarii"/>
    <n v="1"/>
    <s v="Oui"/>
    <s v="Oui"/>
    <s v="Oui"/>
    <s v="Oui"/>
    <s v="Non"/>
    <s v="Non"/>
    <s v="Non"/>
    <s v="Non"/>
    <s v="Non"/>
    <s v="Non"/>
    <s v="Non"/>
    <s v="Non"/>
    <s v="Non"/>
    <s v="Non"/>
    <s v="Non"/>
    <s v="Non"/>
    <s v="Non"/>
    <s v="Non"/>
    <s v="Non"/>
    <s v="Non"/>
    <s v="Non"/>
    <s v="Non"/>
    <s v="Non"/>
    <s v="Non"/>
    <s v="Non"/>
    <s v="Non"/>
    <s v="Non"/>
    <s v="Non"/>
    <s v="Non"/>
    <s v="Non"/>
    <s v="Non"/>
    <s v="Non"/>
    <s v="Non"/>
    <s v="Non"/>
    <s v="Non"/>
    <s v="Non"/>
    <s v="Non"/>
    <s v="Non"/>
    <s v="Non"/>
    <s v="Non"/>
    <s v="Oui"/>
    <m/>
    <m/>
    <s v="Chalmariais"/>
    <s v="Enfants"/>
    <s v="Tence"/>
    <n v="1"/>
    <n v="0"/>
    <n v="0"/>
    <n v="0"/>
    <n v="0"/>
    <n v="0"/>
    <n v="0"/>
    <n v="0"/>
    <n v="1"/>
    <n v="0"/>
    <n v="0"/>
    <n v="9.75"/>
    <n v="0"/>
    <n v="0"/>
    <n v="0.5"/>
    <n v="0"/>
    <n v="0"/>
    <n v="0"/>
    <n v="0"/>
    <n v="0"/>
    <n v="2.4375"/>
    <n v="0"/>
    <n v="0"/>
    <n v="0"/>
    <n v="1"/>
    <n v="0"/>
    <m/>
    <n v="5"/>
    <n v="0"/>
    <n v="0"/>
    <n v="0"/>
    <n v="5"/>
    <n v="0"/>
    <s v="Censu et talha"/>
    <s v="Toussaint"/>
    <s v="Merum et mixtum imperium "/>
    <s v="Loci seu castri de Chalmariais"/>
    <s v="Devesset, in turre supra portam"/>
    <s v="Girandus Girandi de Pulinaco"/>
    <s v="Metheus Morelli de Ruppepaula"/>
    <s v="Matheo Matinerii"/>
    <m/>
    <m/>
    <m/>
    <m/>
  </r>
  <r>
    <n v="1141"/>
    <s v="Page barrée"/>
    <s v="Thomas"/>
    <s v="Servienti de Chanpanhac"/>
    <s v="Champanhac"/>
    <m/>
    <m/>
    <m/>
    <s v="H"/>
    <n v="1343"/>
    <x v="1"/>
    <n v="13"/>
    <s v="Raynaud de Fay"/>
    <m/>
    <m/>
    <m/>
    <m/>
    <m/>
    <m/>
    <m/>
    <m/>
    <s v="Constractus emphiteo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66666666666666663"/>
    <n v="0"/>
    <n v="0"/>
    <n v="0"/>
    <n v="0.66666666666666663"/>
    <n v="0"/>
    <m/>
    <s v="Toussaint"/>
    <s v="De juridictione…"/>
    <m/>
    <m/>
    <m/>
    <m/>
    <m/>
    <m/>
    <m/>
    <m/>
    <m/>
  </r>
  <r>
    <n v="841"/>
    <s v="Marge illisible"/>
    <s v="Thomas"/>
    <s v="Servienti de Chanpanhac"/>
    <s v="Chanclausa"/>
    <m/>
    <m/>
    <m/>
    <s v="H"/>
    <n v="1343"/>
    <x v="1"/>
    <n v="23"/>
    <s v="Raynaud de Fay"/>
    <s v="Promisit esse bonus et fidelis tenementarius domum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66666666666666663"/>
    <n v="0"/>
    <n v="0"/>
    <n v="0"/>
    <n v="0.66666666666666663"/>
    <n v="0"/>
    <m/>
    <s v="Toussaint"/>
    <s v="De juridictine et senhoria"/>
    <s v="Castri Devesseti"/>
    <s v="Devesset, in turre supra portam"/>
    <s v="Girandus Girandi de Pulinaco"/>
    <s v="Michaele de Roveria"/>
    <s v="Johanne Sabaterii de Chambone"/>
    <s v="Johanne Blaosii"/>
    <m/>
    <m/>
    <s v="In quadam compositione olim facta inter dominum aniciensis episcopum et domum Devesseti"/>
  </r>
  <r>
    <n v="842"/>
    <s v="Marge illisible"/>
    <s v="Poncius"/>
    <s v="Servienti de Chanpanhac"/>
    <s v="Chanclausa"/>
    <m/>
    <m/>
    <m/>
    <s v="H"/>
    <n v="1343"/>
    <x v="1"/>
    <n v="23"/>
    <s v="Raynaud de Fay"/>
    <m/>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33333333333333331"/>
    <n v="0"/>
    <n v="0"/>
    <n v="0"/>
    <n v="0.33333333333333331"/>
    <n v="0"/>
    <m/>
    <s v="Toussaint"/>
    <m/>
    <s v="De juridictione castri Devesseti"/>
    <s v="Devesset, in turre supra portam"/>
    <s v="Girandus Girandi de Pulinaco"/>
    <s v="Michaele de Roveria"/>
    <s v="Johanne Sabaterii de Chambone"/>
    <s v="Johanne Blaosii"/>
    <m/>
    <m/>
    <m/>
  </r>
  <r>
    <n v="843"/>
    <s v="Marge illisible"/>
    <s v="Johannes"/>
    <s v="Servienti de Chanpanhac"/>
    <s v="Chanclausa"/>
    <m/>
    <m/>
    <m/>
    <s v="H"/>
    <n v="1343"/>
    <x v="1"/>
    <n v="23"/>
    <s v="Raynaud de Fay"/>
    <s v="Promisit esse bonus et fidelis tenementarius domum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1"/>
    <n v="0"/>
    <n v="0"/>
    <n v="0"/>
    <n v="1"/>
    <n v="0"/>
    <m/>
    <s v="Toussaint"/>
    <m/>
    <s v="De juridictione castri seu domus Devesseti"/>
    <s v="Devesset, in turre supra portam"/>
    <s v="Girandus Girandi de Pulinaco"/>
    <s v="Michaele de Roveria"/>
    <s v="Johanne Sabaterii de Chambone"/>
    <s v="Johanne Blaosii"/>
    <m/>
    <m/>
    <m/>
  </r>
  <r>
    <n v="851"/>
    <s v="Marge illisible"/>
    <s v="Gregorius"/>
    <s v="Servienti de Chanpanhac"/>
    <s v="Chanclausa"/>
    <m/>
    <m/>
    <m/>
    <s v="H"/>
    <n v="1343"/>
    <x v="1"/>
    <s v="?"/>
    <s v="Raynaud de Fay"/>
    <s v="Promisit esse bonus et fidelis tenementarius domum Devesseti"/>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1"/>
    <n v="0"/>
    <n v="0"/>
    <n v="0"/>
    <n v="1"/>
    <n v="0"/>
    <m/>
    <s v="Toussaint"/>
    <m/>
    <s v="De juridictione 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52"/>
    <s v="Marge illisible"/>
    <s v="Jacobus"/>
    <s v="Servienti de Chanpanhac"/>
    <s v="Chanclausa"/>
    <m/>
    <m/>
    <m/>
    <s v="H"/>
    <n v="1343"/>
    <x v="1"/>
    <s v="?"/>
    <s v="Raynaud de Fay"/>
    <m/>
    <m/>
    <m/>
    <m/>
    <m/>
    <m/>
    <m/>
    <m/>
    <s v="Contractus emphiteotitarii"/>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s v="Pratum"/>
    <n v="0.33333333333333331"/>
    <n v="0"/>
    <n v="0"/>
    <n v="0"/>
    <n v="0.33333333333333331"/>
    <n v="0"/>
    <m/>
    <s v="Toussaint"/>
    <s v="De juridictine et senhoria"/>
    <s v="Castri Devesseti"/>
    <s v="Devesset, infra fortalicam"/>
    <s v="Girandus Girandi de Pulinaco"/>
    <s v="Riligiose viro domino Petro de Feudo presbitero"/>
    <s v="Fratre Guillermo Elie ordinis Hospitalis"/>
    <s v="Petro de Ruppe al' Malpinha"/>
    <m/>
    <m/>
    <s v="In quadam compositione olim facta inter dominum aniciensis episcopum et domum Devesseti"/>
  </r>
  <r>
    <n v="871"/>
    <m/>
    <s v="Johannes + Johannes"/>
    <s v="Socherii + Sanhas de Podio Brunent"/>
    <s v="Podio Brunent"/>
    <m/>
    <m/>
    <s v="Johannes Socherii nomine Guillerme eius uxoris et ambo"/>
    <s v="G"/>
    <n v="1343"/>
    <x v="10"/>
    <n v="26"/>
    <s v="Raynaud de Fay"/>
    <s v="Homo-licgius, justitabilis et expletabilis"/>
    <m/>
    <s v="Non"/>
    <s v="Oui"/>
    <s v="Oui"/>
    <s v="Oui"/>
    <s v="Non"/>
    <s v="Avec bœufs et animaux"/>
    <s v="Contractus emphiteotitarii"/>
    <s v="Oui"/>
    <s v="Oui"/>
    <s v="Oui"/>
    <s v="Non"/>
    <s v="Non"/>
    <s v="Non"/>
    <s v="Non"/>
    <s v="Oui"/>
    <s v="Non"/>
    <s v="Non"/>
    <s v="Non"/>
    <s v="Non"/>
    <s v="Non"/>
    <s v="Non"/>
    <s v="Non"/>
    <s v="Non"/>
    <s v="Non"/>
    <s v="Non"/>
    <s v="Non"/>
    <s v="Non"/>
    <s v="Non"/>
    <s v="Non"/>
    <s v="Non"/>
    <s v="Non"/>
    <s v="Non"/>
    <s v="Non"/>
    <s v="Non"/>
    <s v="Non"/>
    <s v="Non"/>
    <s v="Non"/>
    <s v="Non"/>
    <s v="Non"/>
    <s v="Non"/>
    <s v="Non"/>
    <s v="Non"/>
    <s v="Non"/>
    <s v="Non"/>
    <s v="Non"/>
    <s v="Non"/>
    <s v="Non"/>
    <s v="Non"/>
    <s v="Oui"/>
    <m/>
    <s v="Manso de Podio Brunent"/>
    <s v="Loco et territorio de Podio Brunent"/>
    <s v="Femme"/>
    <s v="Fay"/>
    <n v="1"/>
    <n v="0"/>
    <n v="0"/>
    <n v="0"/>
    <n v="0"/>
    <n v="0"/>
    <n v="6"/>
    <n v="0"/>
    <n v="0"/>
    <n v="0"/>
    <n v="0"/>
    <n v="29.25"/>
    <n v="0"/>
    <n v="0"/>
    <n v="10"/>
    <n v="0"/>
    <n v="0"/>
    <n v="0"/>
    <n v="0"/>
    <n v="0"/>
    <n v="48.75"/>
    <n v="0"/>
    <n v="0"/>
    <n v="0"/>
    <n v="0"/>
    <n v="0"/>
    <m/>
    <n v="27"/>
    <n v="0"/>
    <n v="0"/>
    <n v="0"/>
    <n v="27"/>
    <n v="0"/>
    <m/>
    <s v="Toussaint"/>
    <s v="De juridictine et senhoria"/>
    <s v="Castri Devesseti"/>
    <s v="Devesset, in turre supra portam"/>
    <s v="Girandus Girandi de Pulinaco"/>
    <s v="Petro de Barias"/>
    <s v="Guillermo filio Johannis de Crosto"/>
    <m/>
    <m/>
    <m/>
    <s v="In quadam compositione olim facta inter dominum aniciensis episcopum et domum Devesseti"/>
  </r>
  <r>
    <n v="422"/>
    <s v="Et 431"/>
    <s v="Michael"/>
    <s v="Tanani"/>
    <s v="Dens Tenanos"/>
    <m/>
    <m/>
    <s v="Pro Johaneta et Jacineta eius nepotum"/>
    <s v="H"/>
    <n v="1343"/>
    <x v="5"/>
    <n v="29"/>
    <s v="Raynaud de Fay"/>
    <s v="Homo-licgius, justitabilis et expletabilis"/>
    <s v="Talhabilis ad omnimodas voluntatis"/>
    <s v="Non"/>
    <s v="Oui"/>
    <s v="Oui"/>
    <s v="Oui"/>
    <s v="Non"/>
    <s v="Avec bœufs et animaux"/>
    <s v="Contractus emphiteotitarii"/>
    <n v="1"/>
    <s v="Oui"/>
    <s v="Oui"/>
    <s v="Oui"/>
    <s v="Non"/>
    <s v="Oui"/>
    <s v="Oui"/>
    <s v="Non"/>
    <s v="Non"/>
    <s v="Non"/>
    <s v="Non"/>
    <s v="Oui"/>
    <s v="Non"/>
    <s v="Non"/>
    <s v="Non"/>
    <s v="Non"/>
    <s v="Non"/>
    <s v="Non"/>
    <s v="Non"/>
    <s v="Non"/>
    <s v="Non"/>
    <s v="Non"/>
    <s v="Non"/>
    <s v="Non"/>
    <s v="Non"/>
    <s v="Non"/>
    <s v="Non"/>
    <s v="Non"/>
    <s v="Non"/>
    <s v="Non"/>
    <s v="Non"/>
    <s v="Non"/>
    <s v="Non"/>
    <s v="Non"/>
    <s v="Non"/>
    <s v="Non"/>
    <s v="Non"/>
    <s v="Non"/>
    <s v="Non"/>
    <s v="Non"/>
    <s v="Non"/>
    <s v="Oui"/>
    <m/>
    <s v="Domus + possessiones + terra"/>
    <s v="Loco Dens Tenanos"/>
    <s v="Neveux"/>
    <s v="Devesset"/>
    <n v="0"/>
    <n v="0"/>
    <n v="0"/>
    <n v="0"/>
    <n v="0"/>
    <n v="0"/>
    <n v="21"/>
    <n v="0"/>
    <n v="0"/>
    <n v="0"/>
    <n v="0"/>
    <n v="102.375"/>
    <n v="0"/>
    <n v="0"/>
    <n v="20"/>
    <n v="0"/>
    <n v="0"/>
    <n v="0"/>
    <n v="0"/>
    <n v="0"/>
    <n v="97.5"/>
    <n v="0"/>
    <n v="0"/>
    <n v="0"/>
    <n v="0"/>
    <n v="0"/>
    <s v="Terra"/>
    <n v="28"/>
    <n v="0"/>
    <n v="0"/>
    <n v="0"/>
    <n v="28"/>
    <n v="0"/>
    <s v="Censu et talha"/>
    <s v="Toussaint"/>
    <s v="Merum et mixtum imperio"/>
    <s v="Castri Devesseti"/>
    <s v="Devesset, in turre supra portam"/>
    <s v="Girandus Girandi de Pulinaco"/>
    <s v="Andree Despaetis"/>
    <s v="Vitale Claustrerii du Ruppe"/>
    <s v="Bona Sabateno"/>
    <m/>
    <m/>
    <s v="In quadam compositione olim facta inter dominum aniciensis episcopum et domum Devesseti"/>
  </r>
  <r>
    <n v="1314"/>
    <m/>
    <s v="Poncius et Hugo"/>
    <s v="Terrassa"/>
    <s v="Chaslario"/>
    <m/>
    <s v="Hugo filius Poncius"/>
    <m/>
    <s v="G"/>
    <n v="1343"/>
    <x v="2"/>
    <n v="11"/>
    <s v="Raynaud de Fay"/>
    <s v="Promisit esse fidelis tenementarius domus Devesseti"/>
    <m/>
    <m/>
    <m/>
    <m/>
    <m/>
    <m/>
    <m/>
    <s v="Constractus emphiteotarii"/>
    <s v="Non"/>
    <s v="Non"/>
    <s v="Non"/>
    <s v="Non"/>
    <s v="Non"/>
    <s v="Non"/>
    <s v="Non"/>
    <n v="1"/>
    <s v="Non"/>
    <s v="Non"/>
    <s v="Non"/>
    <s v="Non"/>
    <s v="Non"/>
    <s v="Non"/>
    <s v="Non"/>
    <s v="Non"/>
    <s v="Non"/>
    <s v="Non"/>
    <s v="Non"/>
    <s v="Non"/>
    <s v="Non"/>
    <s v="Non"/>
    <s v="Non"/>
    <s v="Non"/>
    <s v="Non"/>
    <s v="Non"/>
    <s v="Non"/>
    <s v="Non"/>
    <s v="Non"/>
    <s v="Non"/>
    <s v="Non"/>
    <s v="Non"/>
    <s v="Non"/>
    <s v="Non"/>
    <s v="Non"/>
    <s v="Non"/>
    <s v="Non"/>
    <s v="Non"/>
    <s v="Non"/>
    <s v="Non"/>
    <s v="Non"/>
    <s v="Non"/>
    <m/>
    <s v="Terre petiam"/>
    <m/>
    <m/>
    <m/>
    <n v="0"/>
    <n v="0"/>
    <n v="0"/>
    <n v="0"/>
    <n v="0"/>
    <n v="0"/>
    <n v="0"/>
    <n v="0"/>
    <n v="0"/>
    <n v="0"/>
    <n v="0"/>
    <n v="0"/>
    <n v="0"/>
    <n v="0"/>
    <n v="0"/>
    <n v="0"/>
    <n v="0"/>
    <n v="0"/>
    <n v="0"/>
    <n v="0"/>
    <n v="0"/>
    <n v="0"/>
    <n v="0"/>
    <n v="0"/>
    <n v="0"/>
    <n v="0"/>
    <m/>
    <n v="0"/>
    <n v="1"/>
    <n v="0"/>
    <n v="0"/>
    <n v="4.1666666666666664E-2"/>
    <n v="0"/>
    <m/>
    <s v="Toussaint"/>
    <m/>
    <m/>
    <s v="Apud Lo Chaslar, in domo Pincii Terrassa"/>
    <s v="Girandus Girandi de Pulinaco"/>
    <s v="Guillermo Grosseti Servienti Devesseti"/>
    <s v="Poncio d'Avenas"/>
    <m/>
    <m/>
    <m/>
    <m/>
  </r>
  <r>
    <n v="241"/>
    <m/>
    <s v="Johaneta"/>
    <s v="Trona"/>
    <s v="Chalmariais"/>
    <m/>
    <m/>
    <m/>
    <s v="F"/>
    <n v="1343"/>
    <x v="5"/>
    <n v="31"/>
    <s v="Renaud de Fay"/>
    <s v="Mulier-licgia, justitabilis et expletabilis"/>
    <s v="Talhabilis ad omnimodas voluntatis"/>
    <s v="Non"/>
    <s v="Oui"/>
    <s v="Non"/>
    <s v="Oui"/>
    <s v="Non"/>
    <s v="Avec bœufs et animaux"/>
    <s v="Contractus emphiteotitarii"/>
    <n v="1"/>
    <n v="1"/>
    <s v="Oui"/>
    <s v="Oui"/>
    <s v="Oui"/>
    <s v="Oui"/>
    <s v="Oui"/>
    <s v="Non"/>
    <s v="Non"/>
    <s v="Non"/>
    <s v="Non"/>
    <s v="Non"/>
    <s v="Non"/>
    <s v="Non"/>
    <s v="Non"/>
    <s v="Non"/>
    <s v="Non"/>
    <s v="Non"/>
    <s v="Non"/>
    <s v="Non"/>
    <s v="Non"/>
    <s v="Non"/>
    <s v="Non"/>
    <s v="Non"/>
    <s v="Non"/>
    <s v="Non"/>
    <s v="Non"/>
    <s v="Non"/>
    <s v="Non"/>
    <s v="Non"/>
    <s v="Non"/>
    <s v="Non"/>
    <s v="Non"/>
    <s v="Non"/>
    <s v="Non"/>
    <s v="Non"/>
    <s v="Non"/>
    <s v="Non"/>
    <s v="Non"/>
    <s v="Non"/>
    <s v="Non"/>
    <s v="Oui"/>
    <m/>
    <m/>
    <s v="Chalmariais"/>
    <m/>
    <s v="Tence"/>
    <n v="1"/>
    <n v="0"/>
    <n v="0"/>
    <n v="0"/>
    <n v="0"/>
    <n v="0"/>
    <n v="0"/>
    <n v="0"/>
    <n v="1"/>
    <n v="0"/>
    <n v="0"/>
    <n v="9.75"/>
    <n v="0"/>
    <n v="0"/>
    <n v="1.5"/>
    <n v="0"/>
    <n v="0"/>
    <n v="0"/>
    <n v="0"/>
    <n v="0.25"/>
    <n v="7.921875"/>
    <n v="0"/>
    <n v="0"/>
    <n v="0"/>
    <n v="0"/>
    <n v="0"/>
    <m/>
    <n v="1.75"/>
    <n v="0"/>
    <n v="0"/>
    <n v="0"/>
    <n v="1.75"/>
    <n v="0"/>
    <s v="Censu et talha"/>
    <s v="Toussaint"/>
    <s v="De juridictione omnimoda"/>
    <s v="Mandemento et infra mandamentum loci de Chalmariais"/>
    <s v="Devesset, in turre supra portam"/>
    <s v="Girandus Girandi de Pulinaco"/>
    <s v="Metheus Morelli de Ruppepaula"/>
    <s v="Matheo Matinerii"/>
    <m/>
    <m/>
    <m/>
    <m/>
  </r>
  <r>
    <n v="1491"/>
    <m/>
    <s v="Johannes + Nicholaus et Petris"/>
    <s v="Turris + Turris Dens Forus"/>
    <s v="Dens Forcus"/>
    <s v="Parrochie de Lanastres"/>
    <m/>
    <m/>
    <s v="G"/>
    <n v="1342"/>
    <x v="3"/>
    <s v="?"/>
    <s v="Raynaud de Fay"/>
    <m/>
    <m/>
    <m/>
    <m/>
    <m/>
    <m/>
    <m/>
    <m/>
    <s v="Constractus emphiteotarii"/>
    <s v="Non"/>
    <s v="Non"/>
    <n v="2"/>
    <s v="Non"/>
    <s v="Non"/>
    <s v="Non"/>
    <n v="1"/>
    <n v="1"/>
    <s v="Non"/>
    <s v="Non"/>
    <s v="Non"/>
    <s v="Non"/>
    <s v="Non"/>
    <s v="Non"/>
    <s v="Non"/>
    <s v="Non"/>
    <n v="2"/>
    <s v="Non"/>
    <s v="Non"/>
    <s v="Non"/>
    <s v="Non"/>
    <s v="Non"/>
    <s v="Non"/>
    <s v="Non"/>
    <s v="Non"/>
    <s v="Non"/>
    <s v="Non"/>
    <s v="Non"/>
    <s v="Non"/>
    <s v="Non"/>
    <s v="Non"/>
    <s v="Non"/>
    <s v="Non"/>
    <s v="Non"/>
    <s v="Non"/>
    <s v="Non"/>
    <s v="Non"/>
    <s v="Non"/>
    <s v="Non"/>
    <s v="Non"/>
    <s v="Non"/>
    <s v="Non"/>
    <m/>
    <s v="2 garaitum + terram+ pratum + pasturale"/>
    <m/>
    <m/>
    <s v="Fay"/>
    <n v="0"/>
    <n v="0"/>
    <n v="0"/>
    <n v="0"/>
    <n v="0"/>
    <n v="0"/>
    <n v="12"/>
    <n v="0"/>
    <n v="0"/>
    <n v="0"/>
    <n v="0"/>
    <n v="58.5"/>
    <n v="0"/>
    <n v="0"/>
    <n v="12"/>
    <n v="0"/>
    <n v="0"/>
    <n v="0"/>
    <n v="0"/>
    <n v="0"/>
    <n v="58.5"/>
    <n v="0"/>
    <n v="0"/>
    <n v="0"/>
    <n v="0"/>
    <n v="0"/>
    <m/>
    <n v="7"/>
    <n v="0"/>
    <n v="0"/>
    <n v="0"/>
    <n v="7"/>
    <n v="0"/>
    <s v="2 pratum + pasturale"/>
    <s v="Toussaint"/>
    <m/>
    <m/>
    <s v="Devesset, in quoquina"/>
    <s v="Girandus Girandi de Pulinaco"/>
    <s v="Johanne Meruli"/>
    <s v="Petro Curtilis de Villaloma"/>
    <s v="Guigone Chaicua"/>
    <m/>
    <m/>
    <m/>
  </r>
  <r>
    <n v="1331"/>
    <s v="Non présent dans le répertoire"/>
    <s v="Vitalis"/>
    <s v="Verilha"/>
    <s v="Ruppe"/>
    <m/>
    <m/>
    <m/>
    <s v="H"/>
    <n v="1343"/>
    <x v="2"/>
    <n v="12"/>
    <s v="Raynaud de Fay"/>
    <m/>
    <m/>
    <m/>
    <m/>
    <m/>
    <m/>
    <m/>
    <m/>
    <m/>
    <n v="1"/>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s v="Non"/>
    <m/>
    <m/>
    <m/>
    <m/>
    <m/>
    <n v="0.75"/>
    <n v="0"/>
    <n v="0"/>
    <n v="0"/>
    <n v="0"/>
    <n v="0"/>
    <n v="0"/>
    <n v="0"/>
    <n v="0"/>
    <n v="0"/>
    <n v="0"/>
    <n v="0"/>
    <n v="0"/>
    <n v="0"/>
    <n v="0"/>
    <n v="0"/>
    <n v="0"/>
    <n v="0"/>
    <n v="0"/>
    <n v="0"/>
    <n v="0"/>
    <n v="0"/>
    <n v="0"/>
    <n v="0"/>
    <n v="0"/>
    <n v="0"/>
    <m/>
    <n v="0"/>
    <n v="0"/>
    <n v="0"/>
    <n v="0"/>
    <n v="0"/>
    <n v="0"/>
    <m/>
    <m/>
    <s v="Mero et mixto imperio"/>
    <s v="De juridictione omnimoda et de mandamentum castri Devesseti"/>
    <s v="Devesset, in turre supra portam"/>
    <s v="Girandus Girandi de Pulinaco"/>
    <m/>
    <m/>
    <m/>
    <m/>
    <m/>
    <m/>
  </r>
  <r>
    <n v="1471"/>
    <s v="Débute au 1483"/>
    <s v="Durandus et Vitalis"/>
    <s v="Verilhati"/>
    <s v="Ruppe"/>
    <m/>
    <s v="Consanguinei"/>
    <m/>
    <s v="G"/>
    <n v="1342"/>
    <x v="3"/>
    <s v="?"/>
    <s v="Raynaud de Fay"/>
    <s v="Homo-licgius, justitabilis et expletabilis"/>
    <m/>
    <s v="Non"/>
    <s v="Oui"/>
    <s v="Oui"/>
    <s v="Oui"/>
    <s v="Non"/>
    <m/>
    <m/>
    <s v="Non"/>
    <n v="3"/>
    <s v="Non"/>
    <s v="Non"/>
    <n v="2"/>
    <s v="Non"/>
    <s v="Oui"/>
    <n v="3"/>
    <s v="Non"/>
    <s v="Non"/>
    <s v="Non"/>
    <s v="Non"/>
    <s v="Non"/>
    <s v="Non"/>
    <n v="1"/>
    <n v="1"/>
    <n v="1"/>
    <s v="Oui"/>
    <s v="Non"/>
    <n v="11"/>
    <s v="Non"/>
    <s v="Non"/>
    <s v="Non"/>
    <s v="Non"/>
    <s v="Non"/>
    <s v="Non"/>
    <s v="Non"/>
    <s v="Non"/>
    <s v="Non"/>
    <s v="Non"/>
    <s v="Non"/>
    <s v="Non"/>
    <s v="Non"/>
    <s v="Non"/>
    <s v="Non"/>
    <s v="Non"/>
    <s v="Non"/>
    <s v="Non"/>
    <s v="Non"/>
    <s v="Non"/>
    <s v="Non"/>
    <s v="Non"/>
    <s v="Manque début"/>
    <s v="Pasturalia + 3 terrae + 3 orti + 11 petiae + 2 nemus + garaitum + ouchetam + molendinam + possessiones + partem pastuum et pasturalium et partem patilium cmmunum"/>
    <s v="Loco et territorio de Rocha"/>
    <m/>
    <m/>
    <n v="0"/>
    <m/>
    <m/>
    <n v="0"/>
    <m/>
    <m/>
    <m/>
    <m/>
    <m/>
    <m/>
    <m/>
    <n v="0"/>
    <m/>
    <m/>
    <m/>
    <m/>
    <m/>
    <m/>
    <m/>
    <m/>
    <n v="0"/>
    <m/>
    <m/>
    <m/>
    <m/>
    <m/>
    <m/>
    <m/>
    <m/>
    <m/>
    <m/>
    <n v="0"/>
    <m/>
    <m/>
    <m/>
    <m/>
    <m/>
    <m/>
    <m/>
    <m/>
    <m/>
    <m/>
    <m/>
    <m/>
    <m/>
  </r>
  <r>
    <n v="161"/>
    <s v="Page barrée et pas finie"/>
    <s v="Johanes"/>
    <s v="Verilhati"/>
    <s v="Chalmariais"/>
    <m/>
    <s v="Curé de Devesset"/>
    <m/>
    <s v="H"/>
    <n v="1342"/>
    <x v="5"/>
    <n v="17"/>
    <s v="Raynaud de Fay"/>
    <s v="Homo-licgius, justitabilis et expletabilis"/>
    <m/>
    <m/>
    <m/>
    <m/>
    <m/>
    <m/>
    <m/>
    <m/>
    <m/>
    <m/>
    <m/>
    <m/>
    <m/>
    <m/>
    <m/>
    <m/>
    <m/>
    <m/>
    <m/>
    <m/>
    <m/>
    <m/>
    <m/>
    <m/>
    <m/>
    <m/>
    <m/>
    <m/>
    <m/>
    <m/>
    <m/>
    <m/>
    <m/>
    <m/>
    <m/>
    <m/>
    <m/>
    <m/>
    <m/>
    <m/>
    <m/>
    <m/>
    <m/>
    <m/>
    <m/>
    <m/>
    <m/>
    <m/>
    <m/>
    <m/>
    <m/>
    <m/>
    <m/>
    <m/>
    <m/>
    <n v="0"/>
    <m/>
    <m/>
    <n v="0"/>
    <m/>
    <m/>
    <m/>
    <m/>
    <m/>
    <m/>
    <m/>
    <n v="0"/>
    <m/>
    <m/>
    <m/>
    <m/>
    <m/>
    <m/>
    <m/>
    <m/>
    <n v="0"/>
    <m/>
    <m/>
    <m/>
    <m/>
    <m/>
    <m/>
    <m/>
    <m/>
    <m/>
    <m/>
    <n v="0"/>
    <m/>
    <m/>
    <m/>
    <m/>
    <m/>
    <m/>
    <s v="Girandus Girandi de Pulinaco"/>
    <m/>
    <m/>
    <m/>
    <m/>
    <m/>
    <m/>
  </r>
  <r>
    <n v="1772"/>
    <m/>
    <s v="Peyrotus et Johannes"/>
    <s v="Vinati"/>
    <s v="Malavalle"/>
    <m/>
    <m/>
    <m/>
    <s v="G"/>
    <n v="1343"/>
    <x v="2"/>
    <n v="8"/>
    <s v="Raynaud de Fay"/>
    <s v="Promisit esse fidelis domui Devesseti"/>
    <m/>
    <m/>
    <m/>
    <m/>
    <m/>
    <m/>
    <m/>
    <m/>
    <s v="Non"/>
    <s v="Non"/>
    <n v="1"/>
    <s v="Non"/>
    <n v="1"/>
    <s v="Non"/>
    <n v="1"/>
    <s v="Non"/>
    <s v="Non"/>
    <s v="Non"/>
    <s v="Non"/>
    <s v="Non"/>
    <s v="Non"/>
    <s v="Non"/>
    <s v="Non"/>
    <s v="Non"/>
    <s v="Non"/>
    <s v="Non"/>
    <s v="Non"/>
    <s v="Non"/>
    <s v="Non"/>
    <s v="Non"/>
    <s v="Non"/>
    <s v="Non"/>
    <s v="Non"/>
    <s v="Non"/>
    <s v="Non"/>
    <s v="Non"/>
    <s v="Non"/>
    <s v="Non"/>
    <s v="Non"/>
    <s v="Non"/>
    <s v="Non"/>
    <s v="Non"/>
    <s v="Non"/>
    <s v="Non"/>
    <s v="Non"/>
    <s v="Non"/>
    <s v="Non"/>
    <s v="Non"/>
    <s v="Non"/>
    <s v="Non"/>
    <m/>
    <s v="Pasturale + nemus + pratum"/>
    <m/>
    <m/>
    <s v="Pas de mesure de céréale"/>
    <n v="0"/>
    <n v="0"/>
    <n v="0"/>
    <n v="0"/>
    <n v="0"/>
    <n v="0"/>
    <n v="0"/>
    <n v="1"/>
    <n v="0"/>
    <n v="0"/>
    <n v="0"/>
    <n v="2.4375"/>
    <n v="0"/>
    <n v="0"/>
    <n v="0"/>
    <n v="0"/>
    <n v="0"/>
    <n v="0"/>
    <n v="0"/>
    <n v="0"/>
    <n v="0"/>
    <n v="0"/>
    <n v="0"/>
    <n v="0"/>
    <n v="0"/>
    <n v="0"/>
    <m/>
    <n v="0"/>
    <n v="0"/>
    <n v="0"/>
    <n v="0"/>
    <n v="0"/>
    <n v="0"/>
    <m/>
    <s v="Toussaint"/>
    <m/>
    <m/>
    <s v="Saint-Agrève, ante domum Guigonis de Ponte"/>
    <s v="Girandus Girandi de Pulinaco"/>
    <s v="Fratre Johanne Meruli"/>
    <s v="Guillermo Lafanria"/>
    <m/>
    <m/>
    <m/>
    <m/>
  </r>
  <r>
    <n v="1782"/>
    <m/>
    <s v="Johannes"/>
    <s v="Vinati"/>
    <s v="Malavalle"/>
    <m/>
    <m/>
    <m/>
    <s v="H"/>
    <n v="1343"/>
    <x v="2"/>
    <n v="21"/>
    <s v="Raynaud de Fay"/>
    <s v="Promisit esse fidelis domui Devesseti"/>
    <m/>
    <m/>
    <m/>
    <m/>
    <m/>
    <m/>
    <m/>
    <s v="Constractus emphiteotarii"/>
    <s v="Non"/>
    <s v="Non"/>
    <n v="1"/>
    <s v="Non"/>
    <n v="1"/>
    <s v="Non"/>
    <n v="1"/>
    <s v="Non"/>
    <s v="Non"/>
    <s v="Non"/>
    <s v="Non"/>
    <s v="Non"/>
    <s v="Non"/>
    <s v="Non"/>
    <s v="Non"/>
    <s v="Non"/>
    <s v="Non"/>
    <s v="Non"/>
    <s v="Non"/>
    <s v="Non"/>
    <s v="Non"/>
    <s v="Non"/>
    <s v="Non"/>
    <s v="Non"/>
    <s v="Non"/>
    <s v="Non"/>
    <s v="Non"/>
    <s v="Non"/>
    <s v="Non"/>
    <s v="Non"/>
    <s v="Non"/>
    <s v="Non"/>
    <s v="Non"/>
    <s v="Non"/>
    <s v="Non"/>
    <s v="Non"/>
    <s v="Non"/>
    <s v="Non"/>
    <s v="Non"/>
    <s v="Non"/>
    <s v="Non"/>
    <s v="Non"/>
    <m/>
    <s v="Pasturale + nemus + pratum"/>
    <m/>
    <m/>
    <s v="Devesset"/>
    <n v="0"/>
    <n v="0"/>
    <n v="0"/>
    <n v="0"/>
    <n v="0"/>
    <n v="0"/>
    <n v="0"/>
    <n v="1"/>
    <n v="0"/>
    <n v="0"/>
    <n v="0"/>
    <n v="2.4375"/>
    <n v="0"/>
    <n v="0"/>
    <n v="0"/>
    <n v="0"/>
    <n v="0"/>
    <n v="0"/>
    <n v="0"/>
    <n v="0"/>
    <n v="0"/>
    <n v="0"/>
    <n v="0"/>
    <n v="0"/>
    <n v="0"/>
    <n v="0"/>
    <m/>
    <n v="0"/>
    <n v="0"/>
    <n v="0"/>
    <n v="0"/>
    <n v="0"/>
    <n v="0"/>
    <m/>
    <s v="Toussaint"/>
    <m/>
    <m/>
    <s v="Saint-Agrève, in carerra ante domum Guigonis de Ponte"/>
    <s v="Girandus Girandi de Pulinaco"/>
    <s v="Lorentio de Croso"/>
    <s v="Petro Lorei de Montabo"/>
    <s v="Laurentio Chambonant"/>
    <s v="Al' Gnere de Chalmanetes"/>
    <m/>
    <m/>
  </r>
  <r>
    <n v="1313"/>
    <m/>
    <s v="Margarona"/>
    <s v="Vintentii"/>
    <s v="Chapons"/>
    <m/>
    <s v="Filia Guillermi Vitentii de Chapius condam"/>
    <s v="Nomine Ponchonis filii Johannis Vitentii de Chapons"/>
    <s v="F"/>
    <n v="1343"/>
    <x v="2"/>
    <n v="11"/>
    <s v="Raynaud de Fay"/>
    <s v="Promisit esse fidelis domui Devesseti"/>
    <m/>
    <m/>
    <m/>
    <m/>
    <m/>
    <m/>
    <m/>
    <m/>
    <s v="Non"/>
    <s v="Non"/>
    <n v="1"/>
    <s v="Non"/>
    <s v="Non"/>
    <s v="Non"/>
    <s v="Non"/>
    <s v="Non"/>
    <s v="Non"/>
    <s v="Non"/>
    <s v="Non"/>
    <s v="Non"/>
    <s v="Non"/>
    <s v="Non"/>
    <s v="Non"/>
    <s v="Non"/>
    <s v="Non"/>
    <s v="Non"/>
    <s v="Non"/>
    <s v="Non"/>
    <s v="Non"/>
    <s v="Non"/>
    <s v="Non"/>
    <s v="Non"/>
    <s v="Non"/>
    <s v="Non"/>
    <s v="Non"/>
    <s v="Non"/>
    <s v="Non"/>
    <s v="Non"/>
    <s v="Non"/>
    <s v="Non"/>
    <s v="Non"/>
    <s v="Non"/>
    <s v="Non"/>
    <s v="Non"/>
    <s v="Non"/>
    <s v="Non"/>
    <s v="Non"/>
    <s v="Non"/>
    <s v="Non"/>
    <s v="Non"/>
    <m/>
    <s v="Pratum"/>
    <m/>
    <m/>
    <m/>
    <n v="0"/>
    <n v="0"/>
    <n v="0"/>
    <n v="0"/>
    <n v="0"/>
    <n v="0"/>
    <n v="0"/>
    <n v="0"/>
    <n v="0"/>
    <n v="0"/>
    <n v="0"/>
    <n v="0"/>
    <n v="0"/>
    <n v="0"/>
    <n v="0"/>
    <n v="0"/>
    <n v="0"/>
    <n v="0"/>
    <n v="0"/>
    <n v="0"/>
    <n v="0"/>
    <n v="0"/>
    <n v="0"/>
    <n v="0"/>
    <n v="0"/>
    <n v="0"/>
    <m/>
    <n v="8.3333333333333329E-2"/>
    <n v="0"/>
    <n v="0"/>
    <n v="0"/>
    <n v="8.3333333333333329E-2"/>
    <n v="0"/>
    <m/>
    <s v="Toussaint"/>
    <m/>
    <m/>
    <s v="Apud Lo Chaslar, in domo Juliarii Sartoris"/>
    <s v="Girandus Girandi de Pulinaco"/>
    <s v="Guillermo Grosseti Servienti Devesseti"/>
    <s v="Poncio d'Avenas"/>
    <m/>
    <m/>
    <m/>
    <m/>
  </r>
  <r>
    <m/>
    <m/>
    <m/>
    <m/>
    <m/>
    <m/>
    <m/>
    <m/>
    <m/>
    <m/>
    <x v="13"/>
    <m/>
    <m/>
    <m/>
    <m/>
    <m/>
    <m/>
    <m/>
    <m/>
    <m/>
    <m/>
    <m/>
    <m/>
    <m/>
    <m/>
    <m/>
    <m/>
    <m/>
    <m/>
    <m/>
    <m/>
    <m/>
    <m/>
    <m/>
    <m/>
    <m/>
    <m/>
    <m/>
    <m/>
    <m/>
    <m/>
    <m/>
    <m/>
    <m/>
    <m/>
    <m/>
    <m/>
    <m/>
    <m/>
    <m/>
    <m/>
    <m/>
    <m/>
    <m/>
    <m/>
    <m/>
    <m/>
    <m/>
    <m/>
    <m/>
    <m/>
    <m/>
    <m/>
    <m/>
    <m/>
    <m/>
    <m/>
    <m/>
    <m/>
    <n v="83.93154761904762"/>
    <m/>
    <m/>
    <n v="29.25"/>
    <m/>
    <m/>
    <m/>
    <m/>
    <m/>
    <m/>
    <m/>
    <n v="4555.1651785714284"/>
    <m/>
    <m/>
    <m/>
    <m/>
    <m/>
    <m/>
    <m/>
    <m/>
    <n v="2482.4370535714288"/>
    <m/>
    <m/>
    <m/>
    <m/>
    <m/>
    <m/>
    <m/>
    <m/>
    <m/>
    <m/>
    <n v="47.234774305555547"/>
    <n v="1.5000000000000002"/>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49058F-591F-4FB9-A37C-9333F08E8608}" name="Tableau croisé dynamique1" cacheId="0"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A3:EN85" firstHeaderRow="1" firstDataRow="2" firstDataCol="1"/>
  <pivotFields count="17">
    <pivotField showAll="0"/>
    <pivotField dataField="1" showAll="0"/>
    <pivotField axis="axisRow" showAll="0" sortType="ascending">
      <items count="94">
        <item x="0"/>
        <item x="1"/>
        <item x="2"/>
        <item m="1" x="87"/>
        <item x="3"/>
        <item x="4"/>
        <item x="5"/>
        <item m="1" x="92"/>
        <item x="6"/>
        <item x="7"/>
        <item x="8"/>
        <item m="1" x="86"/>
        <item x="9"/>
        <item x="10"/>
        <item x="11"/>
        <item x="12"/>
        <item x="13"/>
        <item m="1" x="88"/>
        <item x="14"/>
        <item x="15"/>
        <item m="1" x="89"/>
        <item x="16"/>
        <item x="17"/>
        <item x="18"/>
        <item m="1" x="81"/>
        <item x="19"/>
        <item x="20"/>
        <item m="1" x="8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m="1" x="83"/>
        <item x="53"/>
        <item x="54"/>
        <item x="55"/>
        <item m="1" x="85"/>
        <item x="56"/>
        <item x="57"/>
        <item x="58"/>
        <item x="59"/>
        <item x="60"/>
        <item x="61"/>
        <item x="62"/>
        <item x="63"/>
        <item x="64"/>
        <item x="65"/>
        <item x="66"/>
        <item x="67"/>
        <item x="68"/>
        <item m="1" x="91"/>
        <item x="69"/>
        <item m="1" x="84"/>
        <item x="70"/>
        <item x="71"/>
        <item x="72"/>
        <item m="1" x="82"/>
        <item x="73"/>
        <item x="74"/>
        <item x="75"/>
        <item x="76"/>
        <item m="1" x="90"/>
        <item x="77"/>
        <item x="78"/>
        <item x="79"/>
        <item t="default"/>
      </items>
    </pivotField>
    <pivotField showAll="0"/>
    <pivotField showAll="0"/>
    <pivotField showAll="0"/>
    <pivotField showAll="0"/>
    <pivotField axis="axisCol" showAll="0" sortType="ascending">
      <items count="220">
        <item x="113"/>
        <item m="1" x="171"/>
        <item m="1" x="183"/>
        <item x="77"/>
        <item x="138"/>
        <item x="63"/>
        <item x="83"/>
        <item m="1" x="209"/>
        <item x="18"/>
        <item x="140"/>
        <item x="60"/>
        <item x="123"/>
        <item x="11"/>
        <item x="19"/>
        <item m="1" x="197"/>
        <item m="1" x="150"/>
        <item x="34"/>
        <item x="73"/>
        <item x="47"/>
        <item x="17"/>
        <item x="137"/>
        <item x="135"/>
        <item m="1" x="160"/>
        <item x="1"/>
        <item x="81"/>
        <item x="14"/>
        <item x="7"/>
        <item x="90"/>
        <item m="1" x="188"/>
        <item x="35"/>
        <item x="99"/>
        <item x="67"/>
        <item m="1" x="192"/>
        <item x="40"/>
        <item m="1" x="187"/>
        <item x="13"/>
        <item x="80"/>
        <item x="51"/>
        <item m="1" x="180"/>
        <item m="1" x="167"/>
        <item x="25"/>
        <item x="26"/>
        <item x="58"/>
        <item x="27"/>
        <item x="41"/>
        <item m="1" x="159"/>
        <item m="1" x="161"/>
        <item x="50"/>
        <item x="71"/>
        <item x="100"/>
        <item x="48"/>
        <item m="1" x="216"/>
        <item m="1" x="179"/>
        <item m="1" x="148"/>
        <item x="10"/>
        <item x="42"/>
        <item x="56"/>
        <item x="57"/>
        <item x="88"/>
        <item x="105"/>
        <item x="103"/>
        <item x="125"/>
        <item x="55"/>
        <item x="124"/>
        <item x="87"/>
        <item x="104"/>
        <item x="131"/>
        <item m="1" x="162"/>
        <item x="53"/>
        <item x="101"/>
        <item m="1" x="199"/>
        <item x="115"/>
        <item m="1" x="181"/>
        <item m="1" x="165"/>
        <item x="23"/>
        <item x="33"/>
        <item m="1" x="212"/>
        <item m="1" x="157"/>
        <item x="129"/>
        <item m="1" x="215"/>
        <item x="74"/>
        <item m="1" x="166"/>
        <item x="29"/>
        <item x="2"/>
        <item m="1" x="170"/>
        <item m="1" x="156"/>
        <item x="16"/>
        <item x="21"/>
        <item x="20"/>
        <item x="114"/>
        <item m="1" x="155"/>
        <item x="68"/>
        <item x="79"/>
        <item x="112"/>
        <item m="1" x="204"/>
        <item m="1" x="203"/>
        <item x="120"/>
        <item x="130"/>
        <item x="30"/>
        <item x="136"/>
        <item x="110"/>
        <item x="54"/>
        <item x="122"/>
        <item x="62"/>
        <item x="59"/>
        <item x="28"/>
        <item x="107"/>
        <item x="95"/>
        <item m="1" x="191"/>
        <item x="117"/>
        <item x="97"/>
        <item x="116"/>
        <item m="1" x="153"/>
        <item m="1" x="168"/>
        <item x="94"/>
        <item x="106"/>
        <item m="1" x="151"/>
        <item m="1" x="178"/>
        <item m="1" x="149"/>
        <item m="1" x="198"/>
        <item x="118"/>
        <item x="109"/>
        <item x="61"/>
        <item m="1" x="177"/>
        <item m="1" x="211"/>
        <item x="96"/>
        <item x="128"/>
        <item x="31"/>
        <item x="76"/>
        <item x="39"/>
        <item x="66"/>
        <item x="32"/>
        <item x="108"/>
        <item x="119"/>
        <item x="72"/>
        <item x="70"/>
        <item x="69"/>
        <item x="64"/>
        <item x="15"/>
        <item m="1" x="182"/>
        <item m="1" x="163"/>
        <item x="12"/>
        <item m="1" x="176"/>
        <item m="1" x="174"/>
        <item x="82"/>
        <item m="1" x="201"/>
        <item x="134"/>
        <item m="1" x="172"/>
        <item m="1" x="147"/>
        <item x="75"/>
        <item x="65"/>
        <item m="1" x="169"/>
        <item m="1" x="207"/>
        <item m="1" x="164"/>
        <item x="93"/>
        <item m="1" x="154"/>
        <item m="1" x="186"/>
        <item m="1" x="205"/>
        <item m="1" x="202"/>
        <item x="44"/>
        <item x="3"/>
        <item x="126"/>
        <item x="92"/>
        <item m="1" x="145"/>
        <item x="0"/>
        <item m="1" x="210"/>
        <item x="22"/>
        <item m="1" x="190"/>
        <item m="1" x="152"/>
        <item m="1" x="206"/>
        <item x="6"/>
        <item m="1" x="144"/>
        <item x="24"/>
        <item m="1" x="146"/>
        <item m="1" x="214"/>
        <item x="102"/>
        <item m="1" x="213"/>
        <item m="1" x="189"/>
        <item m="1" x="218"/>
        <item m="1" x="208"/>
        <item x="37"/>
        <item x="4"/>
        <item m="1" x="143"/>
        <item x="132"/>
        <item m="1" x="158"/>
        <item x="133"/>
        <item x="121"/>
        <item m="1" x="196"/>
        <item x="78"/>
        <item m="1" x="217"/>
        <item x="91"/>
        <item m="1" x="185"/>
        <item x="111"/>
        <item x="127"/>
        <item m="1" x="173"/>
        <item x="9"/>
        <item x="45"/>
        <item x="36"/>
        <item m="1" x="194"/>
        <item x="49"/>
        <item x="8"/>
        <item x="85"/>
        <item x="52"/>
        <item m="1" x="193"/>
        <item m="1" x="142"/>
        <item x="89"/>
        <item m="1" x="184"/>
        <item m="1" x="175"/>
        <item m="1" x="195"/>
        <item x="43"/>
        <item m="1" x="200"/>
        <item x="86"/>
        <item x="139"/>
        <item x="46"/>
        <item x="84"/>
        <item x="98"/>
        <item x="38"/>
        <item x="5"/>
        <item x="141"/>
        <item t="default"/>
      </items>
    </pivotField>
    <pivotField showAll="0"/>
    <pivotField showAll="0"/>
    <pivotField showAll="0"/>
    <pivotField showAll="0"/>
    <pivotField showAll="0"/>
    <pivotField showAll="0"/>
    <pivotField showAll="0"/>
    <pivotField showAll="0"/>
    <pivotField showAll="0"/>
  </pivotFields>
  <rowFields count="1">
    <field x="2"/>
  </rowFields>
  <rowItems count="81">
    <i>
      <x/>
    </i>
    <i>
      <x v="1"/>
    </i>
    <i>
      <x v="2"/>
    </i>
    <i>
      <x v="4"/>
    </i>
    <i>
      <x v="5"/>
    </i>
    <i>
      <x v="6"/>
    </i>
    <i>
      <x v="8"/>
    </i>
    <i>
      <x v="9"/>
    </i>
    <i>
      <x v="10"/>
    </i>
    <i>
      <x v="12"/>
    </i>
    <i>
      <x v="13"/>
    </i>
    <i>
      <x v="14"/>
    </i>
    <i>
      <x v="15"/>
    </i>
    <i>
      <x v="16"/>
    </i>
    <i>
      <x v="18"/>
    </i>
    <i>
      <x v="19"/>
    </i>
    <i>
      <x v="21"/>
    </i>
    <i>
      <x v="22"/>
    </i>
    <i>
      <x v="23"/>
    </i>
    <i>
      <x v="25"/>
    </i>
    <i>
      <x v="26"/>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1"/>
    </i>
    <i>
      <x v="62"/>
    </i>
    <i>
      <x v="63"/>
    </i>
    <i>
      <x v="65"/>
    </i>
    <i>
      <x v="66"/>
    </i>
    <i>
      <x v="67"/>
    </i>
    <i>
      <x v="68"/>
    </i>
    <i>
      <x v="69"/>
    </i>
    <i>
      <x v="70"/>
    </i>
    <i>
      <x v="71"/>
    </i>
    <i>
      <x v="72"/>
    </i>
    <i>
      <x v="73"/>
    </i>
    <i>
      <x v="74"/>
    </i>
    <i>
      <x v="75"/>
    </i>
    <i>
      <x v="76"/>
    </i>
    <i>
      <x v="77"/>
    </i>
    <i>
      <x v="79"/>
    </i>
    <i>
      <x v="81"/>
    </i>
    <i>
      <x v="82"/>
    </i>
    <i>
      <x v="83"/>
    </i>
    <i>
      <x v="85"/>
    </i>
    <i>
      <x v="86"/>
    </i>
    <i>
      <x v="87"/>
    </i>
    <i>
      <x v="88"/>
    </i>
    <i>
      <x v="90"/>
    </i>
    <i>
      <x v="91"/>
    </i>
    <i>
      <x v="92"/>
    </i>
    <i t="grand">
      <x/>
    </i>
  </rowItems>
  <colFields count="1">
    <field x="7"/>
  </colFields>
  <colItems count="143">
    <i>
      <x/>
    </i>
    <i>
      <x v="3"/>
    </i>
    <i>
      <x v="4"/>
    </i>
    <i>
      <x v="5"/>
    </i>
    <i>
      <x v="6"/>
    </i>
    <i>
      <x v="8"/>
    </i>
    <i>
      <x v="9"/>
    </i>
    <i>
      <x v="10"/>
    </i>
    <i>
      <x v="11"/>
    </i>
    <i>
      <x v="12"/>
    </i>
    <i>
      <x v="13"/>
    </i>
    <i>
      <x v="16"/>
    </i>
    <i>
      <x v="17"/>
    </i>
    <i>
      <x v="18"/>
    </i>
    <i>
      <x v="19"/>
    </i>
    <i>
      <x v="20"/>
    </i>
    <i>
      <x v="21"/>
    </i>
    <i>
      <x v="23"/>
    </i>
    <i>
      <x v="24"/>
    </i>
    <i>
      <x v="25"/>
    </i>
    <i>
      <x v="26"/>
    </i>
    <i>
      <x v="27"/>
    </i>
    <i>
      <x v="29"/>
    </i>
    <i>
      <x v="30"/>
    </i>
    <i>
      <x v="31"/>
    </i>
    <i>
      <x v="33"/>
    </i>
    <i>
      <x v="35"/>
    </i>
    <i>
      <x v="36"/>
    </i>
    <i>
      <x v="37"/>
    </i>
    <i>
      <x v="40"/>
    </i>
    <i>
      <x v="41"/>
    </i>
    <i>
      <x v="42"/>
    </i>
    <i>
      <x v="43"/>
    </i>
    <i>
      <x v="44"/>
    </i>
    <i>
      <x v="47"/>
    </i>
    <i>
      <x v="48"/>
    </i>
    <i>
      <x v="49"/>
    </i>
    <i>
      <x v="50"/>
    </i>
    <i>
      <x v="54"/>
    </i>
    <i>
      <x v="55"/>
    </i>
    <i>
      <x v="56"/>
    </i>
    <i>
      <x v="57"/>
    </i>
    <i>
      <x v="58"/>
    </i>
    <i>
      <x v="59"/>
    </i>
    <i>
      <x v="60"/>
    </i>
    <i>
      <x v="61"/>
    </i>
    <i>
      <x v="62"/>
    </i>
    <i>
      <x v="63"/>
    </i>
    <i>
      <x v="64"/>
    </i>
    <i>
      <x v="65"/>
    </i>
    <i>
      <x v="66"/>
    </i>
    <i>
      <x v="68"/>
    </i>
    <i>
      <x v="69"/>
    </i>
    <i>
      <x v="71"/>
    </i>
    <i>
      <x v="74"/>
    </i>
    <i>
      <x v="75"/>
    </i>
    <i>
      <x v="78"/>
    </i>
    <i>
      <x v="80"/>
    </i>
    <i>
      <x v="82"/>
    </i>
    <i>
      <x v="83"/>
    </i>
    <i>
      <x v="86"/>
    </i>
    <i>
      <x v="87"/>
    </i>
    <i>
      <x v="88"/>
    </i>
    <i>
      <x v="89"/>
    </i>
    <i>
      <x v="91"/>
    </i>
    <i>
      <x v="92"/>
    </i>
    <i>
      <x v="93"/>
    </i>
    <i>
      <x v="96"/>
    </i>
    <i>
      <x v="97"/>
    </i>
    <i>
      <x v="98"/>
    </i>
    <i>
      <x v="99"/>
    </i>
    <i>
      <x v="100"/>
    </i>
    <i>
      <x v="101"/>
    </i>
    <i>
      <x v="102"/>
    </i>
    <i>
      <x v="103"/>
    </i>
    <i>
      <x v="104"/>
    </i>
    <i>
      <x v="105"/>
    </i>
    <i>
      <x v="106"/>
    </i>
    <i>
      <x v="107"/>
    </i>
    <i>
      <x v="109"/>
    </i>
    <i>
      <x v="110"/>
    </i>
    <i>
      <x v="111"/>
    </i>
    <i>
      <x v="114"/>
    </i>
    <i>
      <x v="115"/>
    </i>
    <i>
      <x v="120"/>
    </i>
    <i>
      <x v="121"/>
    </i>
    <i>
      <x v="122"/>
    </i>
    <i>
      <x v="125"/>
    </i>
    <i>
      <x v="126"/>
    </i>
    <i>
      <x v="127"/>
    </i>
    <i>
      <x v="128"/>
    </i>
    <i>
      <x v="129"/>
    </i>
    <i>
      <x v="130"/>
    </i>
    <i>
      <x v="131"/>
    </i>
    <i>
      <x v="132"/>
    </i>
    <i>
      <x v="133"/>
    </i>
    <i>
      <x v="134"/>
    </i>
    <i>
      <x v="135"/>
    </i>
    <i>
      <x v="136"/>
    </i>
    <i>
      <x v="137"/>
    </i>
    <i>
      <x v="138"/>
    </i>
    <i>
      <x v="141"/>
    </i>
    <i>
      <x v="144"/>
    </i>
    <i>
      <x v="146"/>
    </i>
    <i>
      <x v="149"/>
    </i>
    <i>
      <x v="150"/>
    </i>
    <i>
      <x v="154"/>
    </i>
    <i>
      <x v="159"/>
    </i>
    <i>
      <x v="160"/>
    </i>
    <i>
      <x v="161"/>
    </i>
    <i>
      <x v="162"/>
    </i>
    <i>
      <x v="164"/>
    </i>
    <i>
      <x v="166"/>
    </i>
    <i>
      <x v="170"/>
    </i>
    <i>
      <x v="172"/>
    </i>
    <i>
      <x v="175"/>
    </i>
    <i>
      <x v="180"/>
    </i>
    <i>
      <x v="181"/>
    </i>
    <i>
      <x v="183"/>
    </i>
    <i>
      <x v="185"/>
    </i>
    <i>
      <x v="186"/>
    </i>
    <i>
      <x v="188"/>
    </i>
    <i>
      <x v="190"/>
    </i>
    <i>
      <x v="192"/>
    </i>
    <i>
      <x v="193"/>
    </i>
    <i>
      <x v="195"/>
    </i>
    <i>
      <x v="196"/>
    </i>
    <i>
      <x v="197"/>
    </i>
    <i>
      <x v="199"/>
    </i>
    <i>
      <x v="200"/>
    </i>
    <i>
      <x v="201"/>
    </i>
    <i>
      <x v="202"/>
    </i>
    <i>
      <x v="205"/>
    </i>
    <i>
      <x v="209"/>
    </i>
    <i>
      <x v="211"/>
    </i>
    <i>
      <x v="212"/>
    </i>
    <i>
      <x v="213"/>
    </i>
    <i>
      <x v="214"/>
    </i>
    <i>
      <x v="215"/>
    </i>
    <i>
      <x v="216"/>
    </i>
    <i>
      <x v="217"/>
    </i>
    <i>
      <x v="218"/>
    </i>
    <i t="grand">
      <x/>
    </i>
  </colItems>
  <dataFields count="1">
    <dataField name="Nombre de Prénom" fld="1" subtotal="count" baseField="0" baseItem="0"/>
  </dataFields>
  <formats count="1">
    <format dxfId="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AA7E55-23EF-4749-B0F3-A7DC8E4359FE}" name="Tableau croisé dynamique9" cacheId="3" applyNumberFormats="0" applyBorderFormats="0" applyFontFormats="0" applyPatternFormats="0" applyAlignmentFormats="0" applyWidthHeightFormats="1" dataCaption="Valeurs" updatedVersion="6" minRefreshableVersion="3" useAutoFormatting="1" rowGrandTotals="0" colGrandTotals="0" itemPrintTitles="1" createdVersion="6" indent="0" compact="0" compactData="0" multipleFieldFilters="0" chartFormat="3">
  <location ref="A3:B15" firstHeaderRow="1" firstDataRow="1" firstDataCol="1"/>
  <pivotFields count="1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15">
        <item x="4"/>
        <item x="3"/>
        <item m="1" x="14"/>
        <item x="5"/>
        <item x="0"/>
        <item x="6"/>
        <item x="8"/>
        <item x="12"/>
        <item x="7"/>
        <item x="9"/>
        <item x="1"/>
        <item x="10"/>
        <item x="2"/>
        <item h="1" x="11"/>
        <item h="1"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0"/>
  </rowFields>
  <rowItems count="12">
    <i>
      <x/>
    </i>
    <i>
      <x v="1"/>
    </i>
    <i>
      <x v="3"/>
    </i>
    <i>
      <x v="4"/>
    </i>
    <i>
      <x v="5"/>
    </i>
    <i>
      <x v="6"/>
    </i>
    <i>
      <x v="7"/>
    </i>
    <i>
      <x v="8"/>
    </i>
    <i>
      <x v="9"/>
    </i>
    <i>
      <x v="10"/>
    </i>
    <i>
      <x v="11"/>
    </i>
    <i>
      <x v="12"/>
    </i>
  </rowItems>
  <colItems count="1">
    <i/>
  </colItems>
  <dataFields count="1">
    <dataField name="Nombre de Mois" fld="1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13614C-B5A8-4161-9FB3-C6A32CBAE5B4}" name="Tableau croisé dynamique1" cacheId="1"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location ref="A44:G62" firstHeaderRow="1" firstDataRow="2" firstDataCol="1" rowPageCount="41" colPageCount="1"/>
  <pivotFields count="111">
    <pivotField dataField="1" showAll="0"/>
    <pivotField showAll="0"/>
    <pivotField showAll="0"/>
    <pivotField showAll="0"/>
    <pivotField axis="axisRow" showAll="0">
      <items count="90">
        <item x="0"/>
        <item x="1"/>
        <item x="2"/>
        <item m="1" x="87"/>
        <item x="4"/>
        <item m="1" x="83"/>
        <item x="5"/>
        <item x="6"/>
        <item x="7"/>
        <item x="8"/>
        <item m="1" x="75"/>
        <item x="9"/>
        <item x="10"/>
        <item m="1" x="86"/>
        <item x="11"/>
        <item x="12"/>
        <item x="14"/>
        <item m="1" x="84"/>
        <item x="15"/>
        <item m="1" x="85"/>
        <item x="16"/>
        <item m="1" x="79"/>
        <item x="17"/>
        <item m="1" x="82"/>
        <item x="19"/>
        <item x="20"/>
        <item x="21"/>
        <item x="22"/>
        <item x="23"/>
        <item x="24"/>
        <item x="25"/>
        <item x="26"/>
        <item x="27"/>
        <item x="28"/>
        <item x="30"/>
        <item x="31"/>
        <item x="32"/>
        <item x="33"/>
        <item x="35"/>
        <item x="36"/>
        <item m="1" x="88"/>
        <item x="37"/>
        <item x="38"/>
        <item x="39"/>
        <item x="40"/>
        <item x="41"/>
        <item x="42"/>
        <item x="43"/>
        <item x="44"/>
        <item x="45"/>
        <item x="46"/>
        <item x="47"/>
        <item x="48"/>
        <item m="1" x="77"/>
        <item x="49"/>
        <item x="50"/>
        <item x="18"/>
        <item m="1" x="76"/>
        <item x="52"/>
        <item m="1" x="80"/>
        <item x="53"/>
        <item x="54"/>
        <item x="55"/>
        <item x="57"/>
        <item x="59"/>
        <item x="60"/>
        <item x="61"/>
        <item x="62"/>
        <item m="1" x="78"/>
        <item x="64"/>
        <item m="1" x="81"/>
        <item x="66"/>
        <item x="67"/>
        <item x="68"/>
        <item x="69"/>
        <item x="70"/>
        <item x="63"/>
        <item x="71"/>
        <item x="72"/>
        <item x="73"/>
        <item x="74"/>
        <item x="34"/>
        <item x="3"/>
        <item x="13"/>
        <item x="29"/>
        <item x="51"/>
        <item x="56"/>
        <item x="58"/>
        <item x="65"/>
        <item t="default"/>
      </items>
    </pivotField>
    <pivotField showAll="0"/>
    <pivotField showAll="0"/>
    <pivotField showAll="0"/>
    <pivotField showAll="0"/>
    <pivotField showAll="0"/>
    <pivotField showAll="0"/>
    <pivotField showAll="0"/>
    <pivotField showAll="0"/>
    <pivotField showAll="0"/>
    <pivotField axis="axisCol" showAll="0">
      <items count="7">
        <item x="5"/>
        <item x="3"/>
        <item x="1"/>
        <item x="4"/>
        <item x="2"/>
        <item h="1" x="0"/>
        <item t="default"/>
      </items>
    </pivotField>
    <pivotField showAll="0"/>
    <pivotField showAll="0"/>
    <pivotField showAll="0"/>
    <pivotField showAll="0"/>
    <pivotField showAll="0"/>
    <pivotField showAll="0"/>
    <pivotField showAll="0"/>
    <pivotField axis="axisPage" multipleItemSelectionAllowed="1" showAll="0">
      <items count="6">
        <item sd="0" x="3"/>
        <item sd="0" x="1"/>
        <item sd="0" x="0"/>
        <item sd="0" x="2"/>
        <item sd="0" x="4"/>
        <item t="default"/>
      </items>
    </pivotField>
    <pivotField axis="axisPage" multipleItemSelectionAllowed="1" showAll="0">
      <items count="8">
        <item x="4"/>
        <item x="1"/>
        <item x="3"/>
        <item x="6"/>
        <item x="0"/>
        <item x="2"/>
        <item x="5"/>
        <item t="default"/>
      </items>
    </pivotField>
    <pivotField axis="axisPage" multipleItemSelectionAllowed="1" showAll="0">
      <items count="13">
        <item x="10"/>
        <item x="1"/>
        <item x="4"/>
        <item x="5"/>
        <item x="11"/>
        <item x="6"/>
        <item x="7"/>
        <item x="8"/>
        <item x="9"/>
        <item x="0"/>
        <item x="2"/>
        <item x="3"/>
        <item t="default"/>
      </items>
    </pivotField>
    <pivotField axis="axisPage" showAll="0">
      <items count="5">
        <item x="3"/>
        <item x="0"/>
        <item x="1"/>
        <item x="2"/>
        <item t="default"/>
      </items>
    </pivotField>
    <pivotField axis="axisPage" showAll="0">
      <items count="9">
        <item x="6"/>
        <item x="5"/>
        <item x="3"/>
        <item x="4"/>
        <item x="7"/>
        <item x="0"/>
        <item x="1"/>
        <item x="2"/>
        <item t="default"/>
      </items>
    </pivotField>
    <pivotField axis="axisPage" showAll="0">
      <items count="5">
        <item x="3"/>
        <item x="0"/>
        <item x="1"/>
        <item x="2"/>
        <item t="default"/>
      </items>
    </pivotField>
    <pivotField axis="axisPage" showAll="0">
      <items count="7">
        <item x="4"/>
        <item x="5"/>
        <item x="3"/>
        <item x="0"/>
        <item x="1"/>
        <item x="2"/>
        <item t="default"/>
      </items>
    </pivotField>
    <pivotField axis="axisPage" showAll="0">
      <items count="11">
        <item x="7"/>
        <item x="0"/>
        <item x="5"/>
        <item x="8"/>
        <item x="2"/>
        <item x="6"/>
        <item x="9"/>
        <item x="1"/>
        <item x="4"/>
        <item x="3"/>
        <item t="default"/>
      </items>
    </pivotField>
    <pivotField axis="axisPage" multipleItemSelectionAllowed="1" showAll="0">
      <items count="5">
        <item x="3"/>
        <item x="0"/>
        <item x="1"/>
        <item x="2"/>
        <item t="default"/>
      </items>
    </pivotField>
    <pivotField axis="axisPage" showAll="0">
      <items count="4">
        <item x="0"/>
        <item x="1"/>
        <item x="2"/>
        <item t="default"/>
      </items>
    </pivotField>
    <pivotField axis="axisPage" showAll="0">
      <items count="5">
        <item x="1"/>
        <item x="0"/>
        <item x="3"/>
        <item x="2"/>
        <item t="default"/>
      </items>
    </pivotField>
    <pivotField showAll="0"/>
    <pivotField axis="axisPage" showAll="0">
      <items count="6">
        <item x="1"/>
        <item x="0"/>
        <item x="3"/>
        <item x="4"/>
        <item x="2"/>
        <item t="default"/>
      </items>
    </pivotField>
    <pivotField axis="axisPage" showAll="0">
      <items count="5">
        <item x="3"/>
        <item x="0"/>
        <item x="2"/>
        <item x="1"/>
        <item t="default"/>
      </items>
    </pivotField>
    <pivotField axis="axisPage" showAll="0">
      <items count="5">
        <item x="3"/>
        <item x="0"/>
        <item x="2"/>
        <item x="1"/>
        <item t="default"/>
      </items>
    </pivotField>
    <pivotField axis="axisPage" showAll="0">
      <items count="6">
        <item x="3"/>
        <item x="4"/>
        <item x="0"/>
        <item x="2"/>
        <item x="1"/>
        <item t="default"/>
      </items>
    </pivotField>
    <pivotField axis="axisPage" showAll="0">
      <items count="6">
        <item x="2"/>
        <item x="3"/>
        <item x="4"/>
        <item x="0"/>
        <item x="1"/>
        <item t="default"/>
      </items>
    </pivotField>
    <pivotField axis="axisPage" showAll="0">
      <items count="4">
        <item x="0"/>
        <item x="2"/>
        <item x="1"/>
        <item t="default"/>
      </items>
    </pivotField>
    <pivotField axis="axisPage" multipleItemSelectionAllowed="1" showAll="0">
      <items count="4">
        <item x="2"/>
        <item x="0"/>
        <item x="1"/>
        <item t="default"/>
      </items>
    </pivotField>
    <pivotField axis="axisPage" showAll="0">
      <items count="16">
        <item x="14"/>
        <item x="2"/>
        <item x="6"/>
        <item x="1"/>
        <item x="11"/>
        <item x="5"/>
        <item x="12"/>
        <item x="10"/>
        <item x="7"/>
        <item x="9"/>
        <item x="13"/>
        <item x="8"/>
        <item x="0"/>
        <item x="4"/>
        <item x="3"/>
        <item t="default"/>
      </items>
    </pivotField>
    <pivotField axis="axisPage" showAll="0">
      <items count="4">
        <item x="2"/>
        <item x="0"/>
        <item x="1"/>
        <item t="default"/>
      </items>
    </pivotField>
    <pivotField axis="axisPage" showAll="0">
      <items count="4">
        <item x="2"/>
        <item x="0"/>
        <item x="1"/>
        <item t="default"/>
      </items>
    </pivotField>
    <pivotField axis="axisPage" showAll="0">
      <items count="5">
        <item x="2"/>
        <item x="0"/>
        <item x="3"/>
        <item x="1"/>
        <item t="default"/>
      </items>
    </pivotField>
    <pivotField axis="axisPage" showAll="0">
      <items count="4">
        <item x="2"/>
        <item x="0"/>
        <item x="1"/>
        <item t="default"/>
      </items>
    </pivotField>
    <pivotField axis="axisPage" showAll="0">
      <items count="6">
        <item x="3"/>
        <item x="4"/>
        <item x="0"/>
        <item x="1"/>
        <item x="2"/>
        <item t="default"/>
      </items>
    </pivotField>
    <pivotField axis="axisPage" showAll="0">
      <items count="5">
        <item x="3"/>
        <item x="0"/>
        <item x="2"/>
        <item x="1"/>
        <item t="default"/>
      </items>
    </pivotField>
    <pivotField axis="axisPage" showAll="0">
      <items count="4">
        <item x="2"/>
        <item x="0"/>
        <item x="1"/>
        <item t="default"/>
      </items>
    </pivotField>
    <pivotField axis="axisPage" showAll="0">
      <items count="6">
        <item x="4"/>
        <item x="1"/>
        <item x="0"/>
        <item x="2"/>
        <item x="3"/>
        <item t="default"/>
      </items>
    </pivotField>
    <pivotField axis="axisPage" showAll="0">
      <items count="4">
        <item x="2"/>
        <item x="0"/>
        <item x="1"/>
        <item t="default"/>
      </items>
    </pivotField>
    <pivotField axis="axisPage" showAll="0">
      <items count="4">
        <item x="0"/>
        <item x="2"/>
        <item x="1"/>
        <item t="default"/>
      </items>
    </pivotField>
    <pivotField axis="axisPage" showAll="0">
      <items count="5">
        <item x="2"/>
        <item x="0"/>
        <item x="3"/>
        <item x="1"/>
        <item t="default"/>
      </items>
    </pivotField>
    <pivotField axis="axisPage" showAll="0">
      <items count="4">
        <item x="2"/>
        <item x="0"/>
        <item x="1"/>
        <item t="default"/>
      </items>
    </pivotField>
    <pivotField axis="axisPage" showAll="0">
      <items count="4">
        <item x="0"/>
        <item x="2"/>
        <item x="1"/>
        <item t="default"/>
      </items>
    </pivotField>
    <pivotField axis="axisPage" showAll="0">
      <items count="6">
        <item x="4"/>
        <item x="3"/>
        <item x="0"/>
        <item x="2"/>
        <item x="1"/>
        <item t="default"/>
      </items>
    </pivotField>
    <pivotField axis="axisPage" showAll="0">
      <items count="4">
        <item x="2"/>
        <item x="0"/>
        <item x="1"/>
        <item t="default"/>
      </items>
    </pivotField>
    <pivotField axis="axisPage" showAll="0">
      <items count="4">
        <item x="2"/>
        <item x="0"/>
        <item x="1"/>
        <item t="default"/>
      </items>
    </pivotField>
    <pivotField axis="axisPage" showAll="0">
      <items count="4">
        <item x="2"/>
        <item x="0"/>
        <item x="1"/>
        <item t="default"/>
      </items>
    </pivotField>
    <pivotField axis="axisPage" showAll="0">
      <items count="4">
        <item x="2"/>
        <item x="0"/>
        <item x="1"/>
        <item t="default"/>
      </items>
    </pivotField>
    <pivotField axis="axisPage" showAll="0">
      <items count="4">
        <item x="0"/>
        <item x="2"/>
        <item x="1"/>
        <item t="default"/>
      </items>
    </pivotField>
    <pivotField axis="axisPage" showAll="0">
      <items count="4">
        <item x="1"/>
        <item x="0"/>
        <item x="2"/>
        <item t="default"/>
      </items>
    </pivotField>
    <pivotField axis="axisPage" showAll="0">
      <items count="4">
        <item x="2"/>
        <item x="0"/>
        <item x="1"/>
        <item t="default"/>
      </items>
    </pivotField>
    <pivotField axis="axisPage"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7">
    <i>
      <x v="4"/>
    </i>
    <i>
      <x v="6"/>
    </i>
    <i>
      <x v="9"/>
    </i>
    <i>
      <x v="11"/>
    </i>
    <i>
      <x v="24"/>
    </i>
    <i>
      <x v="25"/>
    </i>
    <i>
      <x v="28"/>
    </i>
    <i>
      <x v="31"/>
    </i>
    <i>
      <x v="37"/>
    </i>
    <i>
      <x v="45"/>
    </i>
    <i>
      <x v="47"/>
    </i>
    <i>
      <x v="51"/>
    </i>
    <i>
      <x v="55"/>
    </i>
    <i>
      <x v="56"/>
    </i>
    <i>
      <x v="62"/>
    </i>
    <i>
      <x v="63"/>
    </i>
    <i t="grand">
      <x/>
    </i>
  </rowItems>
  <colFields count="1">
    <field x="14"/>
  </colFields>
  <colItems count="6">
    <i>
      <x/>
    </i>
    <i>
      <x v="1"/>
    </i>
    <i>
      <x v="2"/>
    </i>
    <i>
      <x v="3"/>
    </i>
    <i>
      <x v="4"/>
    </i>
    <i t="grand">
      <x/>
    </i>
  </colItems>
  <pageFields count="41">
    <pageField fld="63" hier="-1"/>
    <pageField fld="62" hier="-1"/>
    <pageField fld="59" hier="-1"/>
    <pageField fld="61" hier="-1"/>
    <pageField fld="60" hier="-1"/>
    <pageField fld="55" hier="-1"/>
    <pageField fld="58" hier="-1"/>
    <pageField fld="57" hier="-1"/>
    <pageField fld="56" hier="-1"/>
    <pageField fld="48" hier="-1"/>
    <pageField fld="54" hier="-1"/>
    <pageField fld="53" hier="-1"/>
    <pageField fld="52" hier="-1"/>
    <pageField fld="51" hier="-1"/>
    <pageField fld="50" hier="-1"/>
    <pageField fld="49" hier="-1"/>
    <pageField fld="40" hier="-1"/>
    <pageField fld="47" hier="-1"/>
    <pageField fld="46" hier="-1"/>
    <pageField fld="45" hier="-1"/>
    <pageField fld="44" hier="-1"/>
    <pageField fld="43" hier="-1"/>
    <pageField fld="42" hier="-1"/>
    <pageField fld="41" hier="-1"/>
    <pageField fld="35" hier="-1"/>
    <pageField fld="39" hier="-1"/>
    <pageField fld="38" hier="-1"/>
    <pageField fld="37" hier="-1"/>
    <pageField fld="36" hier="-1"/>
    <pageField fld="34" hier="-1"/>
    <pageField fld="32" hier="-1"/>
    <pageField fld="30" hier="-1"/>
    <pageField fld="31" hier="-1"/>
    <pageField fld="29" hier="-1"/>
    <pageField fld="28" hier="-1"/>
    <pageField fld="27" hier="-1"/>
    <pageField fld="26" hier="-1"/>
    <pageField fld="24" hier="-1"/>
    <pageField fld="25" hier="-1"/>
    <pageField fld="23" hier="-1"/>
    <pageField fld="22" hier="-1"/>
  </pageFields>
  <dataFields count="1">
    <dataField name="Nombre de Code" fld="0" subtotal="count" baseField="4" baseItem="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422C9E-293A-4087-BF87-5AA71767F9DE}" name="Tableau croisé dynamique6" cacheId="2" applyNumberFormats="0" applyBorderFormats="0" applyFontFormats="0" applyPatternFormats="0" applyAlignmentFormats="0" applyWidthHeightFormats="1" dataCaption="Valeurs" updatedVersion="6" minRefreshableVersion="3" useAutoFormatting="1" itemPrintTitles="1" createdVersion="6" indent="0" outline="1" outlineData="1" multipleFieldFilters="0" chartFormat="25">
  <location ref="A1:B77" firstHeaderRow="1" firstDataRow="1" firstDataCol="1"/>
  <pivotFields count="1">
    <pivotField axis="axisRow" dataField="1" showAll="0" sortType="ascending">
      <items count="82">
        <item x="64"/>
        <item x="8"/>
        <item x="12"/>
        <item x="69"/>
        <item x="36"/>
        <item x="21"/>
        <item x="17"/>
        <item x="19"/>
        <item x="70"/>
        <item x="5"/>
        <item m="1" x="77"/>
        <item x="26"/>
        <item x="60"/>
        <item x="62"/>
        <item x="72"/>
        <item x="14"/>
        <item x="27"/>
        <item x="6"/>
        <item m="1" x="76"/>
        <item x="54"/>
        <item x="10"/>
        <item m="1" x="79"/>
        <item x="45"/>
        <item x="50"/>
        <item x="48"/>
        <item x="73"/>
        <item x="71"/>
        <item x="2"/>
        <item x="30"/>
        <item x="31"/>
        <item x="4"/>
        <item x="33"/>
        <item x="34"/>
        <item x="67"/>
        <item x="7"/>
        <item x="16"/>
        <item x="35"/>
        <item m="1" x="75"/>
        <item x="32"/>
        <item x="37"/>
        <item x="66"/>
        <item x="39"/>
        <item x="46"/>
        <item x="40"/>
        <item x="9"/>
        <item x="61"/>
        <item x="41"/>
        <item x="24"/>
        <item x="65"/>
        <item x="15"/>
        <item x="42"/>
        <item x="57"/>
        <item x="63"/>
        <item x="13"/>
        <item x="0"/>
        <item m="1" x="78"/>
        <item x="56"/>
        <item x="29"/>
        <item x="44"/>
        <item x="20"/>
        <item x="47"/>
        <item x="68"/>
        <item x="55"/>
        <item x="59"/>
        <item x="18"/>
        <item x="28"/>
        <item x="58"/>
        <item x="11"/>
        <item x="1"/>
        <item x="43"/>
        <item x="49"/>
        <item x="23"/>
        <item m="1" x="80"/>
        <item x="51"/>
        <item x="52"/>
        <item x="25"/>
        <item x="3"/>
        <item x="22"/>
        <item x="53"/>
        <item x="38"/>
        <item x="74"/>
        <item t="default"/>
      </items>
    </pivotField>
  </pivotFields>
  <rowFields count="1">
    <field x="0"/>
  </rowFields>
  <rowItems count="76">
    <i>
      <x/>
    </i>
    <i>
      <x v="1"/>
    </i>
    <i>
      <x v="2"/>
    </i>
    <i>
      <x v="3"/>
    </i>
    <i>
      <x v="4"/>
    </i>
    <i>
      <x v="5"/>
    </i>
    <i>
      <x v="6"/>
    </i>
    <i>
      <x v="7"/>
    </i>
    <i>
      <x v="8"/>
    </i>
    <i>
      <x v="9"/>
    </i>
    <i>
      <x v="11"/>
    </i>
    <i>
      <x v="12"/>
    </i>
    <i>
      <x v="13"/>
    </i>
    <i>
      <x v="14"/>
    </i>
    <i>
      <x v="15"/>
    </i>
    <i>
      <x v="16"/>
    </i>
    <i>
      <x v="17"/>
    </i>
    <i>
      <x v="19"/>
    </i>
    <i>
      <x v="20"/>
    </i>
    <i>
      <x v="22"/>
    </i>
    <i>
      <x v="23"/>
    </i>
    <i>
      <x v="24"/>
    </i>
    <i>
      <x v="25"/>
    </i>
    <i>
      <x v="26"/>
    </i>
    <i>
      <x v="27"/>
    </i>
    <i>
      <x v="28"/>
    </i>
    <i>
      <x v="29"/>
    </i>
    <i>
      <x v="30"/>
    </i>
    <i>
      <x v="31"/>
    </i>
    <i>
      <x v="32"/>
    </i>
    <i>
      <x v="33"/>
    </i>
    <i>
      <x v="34"/>
    </i>
    <i>
      <x v="35"/>
    </i>
    <i>
      <x v="36"/>
    </i>
    <i>
      <x v="38"/>
    </i>
    <i>
      <x v="39"/>
    </i>
    <i>
      <x v="40"/>
    </i>
    <i>
      <x v="41"/>
    </i>
    <i>
      <x v="42"/>
    </i>
    <i>
      <x v="43"/>
    </i>
    <i>
      <x v="44"/>
    </i>
    <i>
      <x v="45"/>
    </i>
    <i>
      <x v="46"/>
    </i>
    <i>
      <x v="47"/>
    </i>
    <i>
      <x v="48"/>
    </i>
    <i>
      <x v="49"/>
    </i>
    <i>
      <x v="50"/>
    </i>
    <i>
      <x v="51"/>
    </i>
    <i>
      <x v="52"/>
    </i>
    <i>
      <x v="53"/>
    </i>
    <i>
      <x v="54"/>
    </i>
    <i>
      <x v="56"/>
    </i>
    <i>
      <x v="57"/>
    </i>
    <i>
      <x v="58"/>
    </i>
    <i>
      <x v="59"/>
    </i>
    <i>
      <x v="60"/>
    </i>
    <i>
      <x v="61"/>
    </i>
    <i>
      <x v="62"/>
    </i>
    <i>
      <x v="63"/>
    </i>
    <i>
      <x v="64"/>
    </i>
    <i>
      <x v="65"/>
    </i>
    <i>
      <x v="66"/>
    </i>
    <i>
      <x v="67"/>
    </i>
    <i>
      <x v="68"/>
    </i>
    <i>
      <x v="69"/>
    </i>
    <i>
      <x v="70"/>
    </i>
    <i>
      <x v="71"/>
    </i>
    <i>
      <x v="73"/>
    </i>
    <i>
      <x v="74"/>
    </i>
    <i>
      <x v="75"/>
    </i>
    <i>
      <x v="76"/>
    </i>
    <i>
      <x v="77"/>
    </i>
    <i>
      <x v="78"/>
    </i>
    <i>
      <x v="79"/>
    </i>
    <i>
      <x v="80"/>
    </i>
    <i t="grand">
      <x/>
    </i>
  </rowItems>
  <colItems count="1">
    <i/>
  </colItems>
  <dataFields count="1">
    <dataField name="Nombre de Localité" fld="0" subtotal="count" baseField="0" baseItem="0"/>
  </dataFields>
  <chartFormats count="3">
    <chartFormat chart="13"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6" dT="2019-08-22T21:14:52.36" personId="{EF3831B1-8878-47B9-AE5A-3D4C4055CD6D}" id="{5B96D8AF-4DD5-4541-BA38-98FF8453BC0B}">
    <text>Répertoire lit Martini</text>
  </threadedComment>
  <threadedComment ref="D13" dT="2019-08-25T18:53:33.98" personId="{EF3831B1-8878-47B9-AE5A-3D4C4055CD6D}" id="{599DFECC-7064-446D-8257-0E9873789A18}">
    <text>Répertoire lit Alias pour Del</text>
  </threadedComment>
  <threadedComment ref="C16" dT="2019-08-22T21:12:52.23" personId="{EF3831B1-8878-47B9-AE5A-3D4C4055CD6D}" id="{68E427FA-1F7D-4B83-9790-E33CC68D26ED}">
    <text>Répertoire lit Claudia</text>
  </threadedComment>
  <threadedComment ref="C50" dT="2019-08-22T20:50:54.50" personId="{EF3831B1-8878-47B9-AE5A-3D4C4055CD6D}" id="{2E977B87-4898-418F-90E0-C1C1044765CA}">
    <text>Le répertoire écrit Dominicus</text>
  </threadedComment>
  <threadedComment ref="C58" dT="2019-08-22T21:19:00.69" personId="{EF3831B1-8878-47B9-AE5A-3D4C4055CD6D}" id="{D4D355F1-B7F5-48F6-8E70-40234E440E60}">
    <text>Répertoire lit Joanna</text>
  </threadedComment>
  <threadedComment ref="C59" dT="2019-08-22T21:18:36.58" personId="{EF3831B1-8878-47B9-AE5A-3D4C4055CD6D}" id="{44558DCE-1B60-436D-94D1-81692A2EDA7A}">
    <text>Répertoire lit Maria</text>
  </threadedComment>
  <threadedComment ref="C69" dT="2019-08-22T20:02:45.97" personId="{EF3831B1-8878-47B9-AE5A-3D4C4055CD6D}" id="{FE35424E-D60F-40D6-BC48-507E989A8F58}">
    <text>Répertoire dit Johannes</text>
  </threadedComment>
  <threadedComment ref="D71" dT="2019-08-25T20:10:53.42" personId="{EF3831B1-8878-47B9-AE5A-3D4C4055CD6D}" id="{B3F60372-7BFF-4CA1-8F1D-80508FDABC61}">
    <text>Répertoire lit Chalvenes</text>
  </threadedComment>
  <threadedComment ref="D81" dT="2019-08-25T19:04:51.08" personId="{EF3831B1-8878-47B9-AE5A-3D4C4055CD6D}" id="{C07C1281-2348-4A5F-ABED-7B6CCC4AC988}">
    <text>Répertoire lit Baray</text>
  </threadedComment>
  <threadedComment ref="C84" dT="2019-08-25T19:19:59.10" personId="{EF3831B1-8878-47B9-AE5A-3D4C4055CD6D}" id="{28A482E0-701B-4CBE-80E0-7CB7827C9DF8}">
    <text>Répertoire lit Benedictus</text>
  </threadedComment>
  <threadedComment ref="D84" dT="2019-08-25T19:20:27.76" personId="{EF3831B1-8878-47B9-AE5A-3D4C4055CD6D}" id="{B99B5946-8E36-47F6-A7B4-6B7B4A0F639A}">
    <text>Répertoire lit Sochonis</text>
  </threadedComment>
  <threadedComment ref="B92" dT="2020-02-09T20:06:51.24" personId="{C9D8C5C5-CEAC-4088-A866-23345759150B}" id="{D47091D5-5DA7-4040-B3DE-F0B0EF334776}">
    <text>Répertoire lit 128</text>
  </threadedComment>
  <threadedComment ref="B108" dT="2019-08-27T11:38:19.43" personId="{EF3831B1-8878-47B9-AE5A-3D4C4055CD6D}" id="{CF196238-9F04-4A9A-BB1B-0D131D9EBCA2}">
    <text>Répertoire lit 118</text>
  </threadedComment>
  <threadedComment ref="B109" dT="2019-08-27T11:38:30.61" personId="{EF3831B1-8878-47B9-AE5A-3D4C4055CD6D}" id="{3EEC9CD0-6FCE-4B8D-9DD7-595B01A81398}">
    <text>Répertoire lit 118</text>
  </threadedComment>
  <threadedComment ref="B110" dT="2019-08-27T11:38:33.50" personId="{EF3831B1-8878-47B9-AE5A-3D4C4055CD6D}" id="{34636924-DABB-48D0-BEC8-3156A1F95766}">
    <text>Répertoire lit 118</text>
  </threadedComment>
  <threadedComment ref="B111" dT="2019-08-27T11:38:37.66" personId="{EF3831B1-8878-47B9-AE5A-3D4C4055CD6D}" id="{17490E0C-016D-488E-90DC-70BE09B9DBAA}">
    <text>Répertoire lit 118</text>
  </threadedComment>
  <threadedComment ref="B112" dT="2019-08-27T11:38:40.77" personId="{EF3831B1-8878-47B9-AE5A-3D4C4055CD6D}" id="{FAA28524-89E8-4F9D-8721-80A99D26CC85}">
    <text>Répertoire lit 118</text>
  </threadedComment>
  <threadedComment ref="D112" dT="2019-08-25T22:11:31.45" personId="{EF3831B1-8878-47B9-AE5A-3D4C4055CD6D}" id="{86849EA9-A958-4B24-AC31-23FF96DAEC69}">
    <text>Répertoire lit Cemcholis</text>
  </threadedComment>
  <threadedComment ref="B114" dT="2019-08-27T11:41:23.85" personId="{EF3831B1-8878-47B9-AE5A-3D4C4055CD6D}" id="{643CFC6D-E1CB-4169-9D9C-2D93AB5C9D91}">
    <text>Seconde cote</text>
  </threadedComment>
  <threadedComment ref="C115" dT="2019-08-22T20:14:57.20" personId="{EF3831B1-8878-47B9-AE5A-3D4C4055CD6D}" id="{4AFA6A5F-FAE0-4397-8060-307C931506A4}">
    <text>Répertoire dit Michaelis</text>
  </threadedComment>
  <threadedComment ref="C118" dT="2019-08-25T17:53:08.41" personId="{EF3831B1-8878-47B9-AE5A-3D4C4055CD6D}" id="{7C3B1E97-75EB-4BD3-AF91-5E4678056A4A}">
    <text>Répertoire lit Aymarii</text>
  </threadedComment>
  <threadedComment ref="D118" dT="2019-08-25T17:52:58.77" personId="{EF3831B1-8878-47B9-AE5A-3D4C4055CD6D}" id="{1D3D3C16-8B19-44CF-9C86-C6D13B70E794}">
    <text>Répertoire lit De Chelari</text>
  </threadedComment>
  <threadedComment ref="C126" dT="2019-08-25T20:27:11.17" personId="{EF3831B1-8878-47B9-AE5A-3D4C4055CD6D}" id="{11E831B6-07D6-444A-A328-024C3D06B42D}">
    <text>Répertoire lit Guillermi</text>
  </threadedComment>
  <threadedComment ref="D127" dT="2019-08-25T20:23:38.05" personId="{EF3831B1-8878-47B9-AE5A-3D4C4055CD6D}" id="{A4C4F645-2FD2-4025-A26A-D11C355A5AEC}">
    <text>Répertoire lit De Chapote</text>
  </threadedComment>
  <threadedComment ref="B135" dT="2019-08-25T21:28:09.78" personId="{EF3831B1-8878-47B9-AE5A-3D4C4055CD6D}" id="{4A4DE2DF-17AB-497F-A2F0-FCE6988E795D}">
    <text>+ 375</text>
  </threadedComment>
  <threadedComment ref="C148" dT="2019-08-22T20:57:28.29" personId="{EF3831B1-8878-47B9-AE5A-3D4C4055CD6D}" id="{5CB22E64-4FEA-487F-B74E-81F6DA93949D}">
    <text>Le répertoire lit Bertonus</text>
  </threadedComment>
  <threadedComment ref="D163" dT="2019-08-26T18:48:48.02" personId="{EF3831B1-8878-47B9-AE5A-3D4C4055CD6D}" id="{A0B46791-D13F-4B9C-A539-FE5484E4EF6F}">
    <text>Répertoire lit Guigonis</text>
  </threadedComment>
  <threadedComment ref="C179" dT="2019-08-25T18:55:16.88" personId="{EF3831B1-8878-47B9-AE5A-3D4C4055CD6D}" id="{508F95C6-3C91-45AA-A385-99F26D29B1E0}">
    <text>Répertoire lit Petrus</text>
  </threadedComment>
  <threadedComment ref="D181" dT="2019-08-25T18:59:08.08" personId="{EF3831B1-8878-47B9-AE5A-3D4C4055CD6D}" id="{BC9828BC-A3BF-41FC-A764-2FC65B726580}">
    <text>Répertoire lit Brunenchi</text>
  </threadedComment>
  <threadedComment ref="C182" dT="2019-08-25T18:58:10.19" personId="{EF3831B1-8878-47B9-AE5A-3D4C4055CD6D}" id="{9D496122-332F-4D66-8884-7914EC2EA742}">
    <text>Répertoire lit Anteronis</text>
  </threadedComment>
  <threadedComment ref="D207" dT="2019-08-22T20:54:20.56" personId="{EF3831B1-8878-47B9-AE5A-3D4C4055CD6D}" id="{C82F9271-83F7-405B-B448-77E156F156D3}">
    <text>Répertoire écrit Montiront</text>
  </threadedComment>
  <threadedComment ref="C211" dT="2019-08-25T18:24:10.09" personId="{EF3831B1-8878-47B9-AE5A-3D4C4055CD6D}" id="{F6EF80FB-AB1A-43E8-891B-21775D310294}">
    <text>Répertoire lit Antonius</text>
  </threadedComment>
  <threadedComment ref="D212" dT="2019-08-25T18:24:48.21" personId="{EF3831B1-8878-47B9-AE5A-3D4C4055CD6D}" id="{151EA9AE-1481-458F-BE8A-21127791AFC6}">
    <text>Répertoire lit Pin</text>
  </threadedComment>
  <threadedComment ref="C220" dT="2019-08-25T21:47:03.00" personId="{EF3831B1-8878-47B9-AE5A-3D4C4055CD6D}" id="{C3DB1639-159A-477D-967C-C38A6E5F72AD}">
    <text>Répertoire lit Guillermus</text>
  </threadedComment>
  <threadedComment ref="D220" dT="2019-08-25T21:47:11.83" personId="{EF3831B1-8878-47B9-AE5A-3D4C4055CD6D}" id="{6F3F8F7E-3945-4692-A297-92EF5AD4CA63}">
    <text>Répertoire lit Thome</text>
  </threadedComment>
  <threadedComment ref="C221" dT="2019-08-22T21:09:34.16" personId="{EF3831B1-8878-47B9-AE5A-3D4C4055CD6D}" id="{32B5E920-34F9-4479-B759-FCCE69EC464B}">
    <text>Répertoire lit Marieta</text>
  </threadedComment>
  <threadedComment ref="C224" dT="2019-08-25T18:46:09.84" personId="{EF3831B1-8878-47B9-AE5A-3D4C4055CD6D}" id="{860BDF0B-598C-4304-A880-5AA21F94B7D0}">
    <text>Inventaire lit Barmeus</text>
  </threadedComment>
  <threadedComment ref="D225" dT="2019-08-25T18:48:57.78" personId="{EF3831B1-8878-47B9-AE5A-3D4C4055CD6D}" id="{37C5782C-726B-455D-995A-E4A6BCFADAA3}">
    <text>Répertoire lit De Fuger</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02-11T07:54:14.90" personId="{C9D8C5C5-CEAC-4088-A866-23345759150B}" id="{2C60F115-1CA7-49E8-9F1D-C9B0C91A6210}">
    <text>Page du pdf + numéro déclarant dans page</text>
  </threadedComment>
  <threadedComment ref="AH1" dT="2019-09-18T15:53:46.63" personId="{EF3831B1-8878-47B9-AE5A-3D4C4055CD6D}" id="{C7E67093-DD50-4068-B547-20ED109B30EC}">
    <text>Lieu interdit pour le pâturage</text>
  </threadedComment>
  <threadedComment ref="AI1" dT="2020-02-15T18:16:26.28" personId="{C9D8C5C5-CEAC-4088-A866-23345759150B}" id="{726A05B1-B8AA-4254-B8A6-61AC0E6DD0E5}">
    <text>Terre inculte</text>
  </threadedComment>
  <threadedComment ref="AJ1" dT="2020-02-15T18:16:32.31" personId="{C9D8C5C5-CEAC-4088-A866-23345759150B}" id="{B48CA447-F1D1-4521-BAAF-48553F0868EF}">
    <text>Revenu, sens</text>
  </threadedComment>
  <threadedComment ref="AL1" dT="2020-02-15T18:22:17.91" personId="{C9D8C5C5-CEAC-4088-A866-23345759150B}" id="{F57BD288-D415-4781-A089-B9E083AAAFE5}">
    <text>Terre cultivable</text>
  </threadedComment>
  <threadedComment ref="AM1" dT="2020-02-15T18:23:48.53" personId="{C9D8C5C5-CEAC-4088-A866-23345759150B}" id="{81C762A9-7C10-4F62-AC15-F65787274237}">
    <text>Terre nouvelle</text>
  </threadedComment>
  <threadedComment ref="AN1" dT="2020-02-15T18:24:57.40" personId="{C9D8C5C5-CEAC-4088-A866-23345759150B}" id="{47609D5D-C5FB-4B0D-B595-A18C74F6EA93}">
    <text>Terre de pâturage</text>
  </threadedComment>
  <threadedComment ref="AQ1" dT="2019-07-24T10:31:52.34" personId="{EF3831B1-8878-47B9-AE5A-3D4C4055CD6D}" id="{A715A2BC-BC89-4B8C-91BD-2B339F0CC75E}">
    <text>Ecluse, retenue d'eau (Blaise Médiéval)</text>
  </threadedComment>
  <threadedComment ref="AS1" dT="2020-02-15T18:27:51.20" personId="{C9D8C5C5-CEAC-4088-A866-23345759150B}" id="{6F322A48-5053-4BC1-9BF6-3EFCF1FD7D37}">
    <text>Côte, coteau</text>
  </threadedComment>
  <threadedComment ref="AT1" dT="2019-09-17T08:40:39.09" personId="{EF3831B1-8878-47B9-AE5A-3D4C4055CD6D}" id="{609560BD-2552-4698-B1E1-0093C6017BE1}">
    <text>Marécage de joncs. Du Cange</text>
  </threadedComment>
  <threadedComment ref="AV1" dT="2019-09-17T09:52:32.02" personId="{EF3831B1-8878-47B9-AE5A-3D4C4055CD6D}" id="{E00956B4-400A-4D6F-A81D-FA19A1E39D00}">
    <text>Terre mise en culture (Blaise Médiéval)</text>
  </threadedComment>
  <threadedComment ref="AW1" dT="2020-02-15T18:30:25.43" personId="{C9D8C5C5-CEAC-4088-A866-23345759150B}" id="{9E753F59-2961-4D00-952C-44B9DD3E6378}">
    <text>Demeure, maison</text>
  </threadedComment>
  <threadedComment ref="AY1" dT="2020-02-15T18:31:19.00" personId="{C9D8C5C5-CEAC-4088-A866-23345759150B}" id="{340B1393-1E5E-4F77-9E59-223DA02EE0F2}">
    <text>Châtaigneraie</text>
  </threadedComment>
  <threadedComment ref="BA1" dT="2020-02-15T18:32:31.23" personId="{C9D8C5C5-CEAC-4088-A866-23345759150B}" id="{8A9AB523-6642-4FDB-9C17-00799E2255DA}">
    <text>Vicus, via</text>
  </threadedComment>
  <threadedComment ref="BD1" dT="2020-02-15T18:43:22.62" personId="{C9D8C5C5-CEAC-4088-A866-23345759150B}" id="{62074FDA-AA55-45B6-A6DE-5D86CE001E5E}">
    <text>Levée</text>
  </threadedComment>
  <threadedComment ref="BE1" dT="2020-02-15T18:44:46.57" personId="{C9D8C5C5-CEAC-4088-A866-23345759150B}" id="{FB5D157C-F5C0-4079-8703-D19DA20D1EF4}">
    <text>bail pour le bétail dont le produit se partage entre le bailleur et le preneur</text>
  </threadedComment>
  <threadedComment ref="BF1" dT="2020-02-16T16:10:33.23" personId="{C9D8C5C5-CEAC-4088-A866-23345759150B}" id="{DF549767-5CCB-42DF-8B68-CC78C912C3C8}">
    <text>Bêche</text>
  </threadedComment>
  <threadedComment ref="BG1" dT="2020-02-15T18:45:33.82" personId="{C9D8C5C5-CEAC-4088-A866-23345759150B}" id="{882AFD2D-DB87-4319-80E9-C65DDC6B649A}">
    <text>Mesure de terre (peut se bêcher en un jour)</text>
  </threadedComment>
  <threadedComment ref="BI1" dT="2020-02-15T18:46:52.42" personId="{C9D8C5C5-CEAC-4088-A866-23345759150B}" id="{7722EFE3-8AA8-45D1-85D3-9A8E7DA44903}">
    <text>Lit d'un cours d'eau, fossé</text>
  </threadedComment>
  <threadedComment ref="CV1" dT="2019-07-23T11:03:30.39" personId="{EF3831B1-8878-47B9-AE5A-3D4C4055CD6D}" id="{3D76D6BE-1F1A-4674-88B3-3D1E09E9414D}">
    <text>Moneta comitum Pictavensium</text>
  </threadedComment>
  <threadedComment ref="Q2" dT="2019-07-22T08:08:30.35" personId="{EF3831B1-8878-47B9-AE5A-3D4C4055CD6D}" id="{0ABB8C5C-2E06-483E-89F4-3102A3116492}">
    <text>Manoperas</text>
  </threadedComment>
  <threadedComment ref="L7" dT="2020-02-13T09:33:53.99" personId="{C9D8C5C5-CEAC-4088-A866-23345759150B}" id="{3C14805D-E0AA-4B2A-AFD7-EE3CA15A9909}">
    <text>Die Sabati in festo Beati Johannis Evvangeliste</text>
  </threadedComment>
  <threadedComment ref="L8" dT="2020-02-13T09:34:48.67" personId="{C9D8C5C5-CEAC-4088-A866-23345759150B}" id="{6699547D-A29A-44FA-B4FD-AFCF0697CCAE}">
    <text>Die Sabati in festo Beati Johannis Anthoni</text>
  </threadedComment>
  <threadedComment ref="J9" dT="2020-02-11T13:47:44.15" personId="{C9D8C5C5-CEAC-4088-A866-23345759150B}" id="{B30D27BD-1388-4822-AF24-283798566BB7}">
    <text>n. st.</text>
  </threadedComment>
  <threadedComment ref="BX19" dT="2019-08-07T12:54:24.95" personId="{EF3831B1-8878-47B9-AE5A-3D4C4055CD6D}" id="{F20F14AD-FC62-4606-82B7-D89DC0BEA20B}">
    <text>Ad mensuram Devesseti</text>
  </threadedComment>
  <threadedComment ref="BV20" dT="2019-07-24T10:35:13.99" personId="{EF3831B1-8878-47B9-AE5A-3D4C4055CD6D}" id="{B9FE2CA8-CDD5-4549-8FF1-1B4AB58CD9C3}">
    <text>Ad mensuram de Fayno</text>
  </threadedComment>
  <threadedComment ref="CH20" dT="2019-07-24T10:35:13.99" personId="{EF3831B1-8878-47B9-AE5A-3D4C4055CD6D}" id="{6862D8D7-6D21-4895-85BE-C8CC66D84F58}">
    <text>Ad mensuram de Fayno</text>
  </threadedComment>
  <threadedComment ref="CU21" dT="2019-08-12T08:49:27.78" personId="{EF3831B1-8878-47B9-AE5A-3D4C4055CD6D}" id="{D34FEA2A-A3B2-45BC-A4AE-6AE9F1D7A5DF}">
    <text>Poeza</text>
  </threadedComment>
  <threadedComment ref="J22" dT="2020-02-11T13:09:29.46" personId="{C9D8C5C5-CEAC-4088-A866-23345759150B}" id="{70F2589B-10E3-4E7C-8643-568A3512860E}">
    <text>n. st.</text>
  </threadedComment>
  <threadedComment ref="BV22" dT="2019-08-18T20:24:56.86" personId="{EF3831B1-8878-47B9-AE5A-3D4C4055CD6D}" id="{A4617C3F-5C4F-4E23-8F4C-C03DF574B520}">
    <text>Mesure de Devesset</text>
  </threadedComment>
  <threadedComment ref="BW22" dT="2019-08-18T20:24:50.17" personId="{EF3831B1-8878-47B9-AE5A-3D4C4055CD6D}" id="{8420F29A-220C-49D5-8A47-1C81947415CD}">
    <text>Mesure de Devesset</text>
  </threadedComment>
  <threadedComment ref="CD22" dT="2019-08-18T20:24:39.19" personId="{EF3831B1-8878-47B9-AE5A-3D4C4055CD6D}" id="{15E76775-5ECC-4938-8872-18257ECF465E}">
    <text>Mesure de Devesset</text>
  </threadedComment>
  <threadedComment ref="CG22" dT="2019-08-18T20:23:56.57" personId="{EF3831B1-8878-47B9-AE5A-3D4C4055CD6D}" id="{D7579E68-55B6-4DEA-AF8B-A4687DC8A509}">
    <text>3 mesure de Tence et 3 mesure de Devesset</text>
  </threadedComment>
  <threadedComment ref="CJ22" dT="2019-08-18T20:24:27.11" personId="{EF3831B1-8878-47B9-AE5A-3D4C4055CD6D}" id="{87724888-C7BA-4566-8BCD-4263D069A1A4}">
    <text>1 mesure de Tence et 1 mesure de Devesset</text>
  </threadedComment>
  <threadedComment ref="AL23" dT="2019-07-22T08:07:57.03" personId="{EF3831B1-8878-47B9-AE5A-3D4C4055CD6D}" id="{34EE74F7-C5BE-417A-8877-61FECBC86872}">
    <text>Euchias, mais sans doute erreur</text>
  </threadedComment>
  <threadedComment ref="J26" dT="2020-02-11T13:47:54.16" personId="{C9D8C5C5-CEAC-4088-A866-23345759150B}" id="{303CD206-226F-46FA-8DE9-EFCA34008A0C}">
    <text>n. st.</text>
  </threadedComment>
  <threadedComment ref="J29" dT="2020-02-11T13:46:53.82" personId="{C9D8C5C5-CEAC-4088-A866-23345759150B}" id="{FF9E6637-98AA-4DA0-A795-B7D14058AB69}">
    <text>n. st.</text>
  </threadedComment>
  <threadedComment ref="AD29" dT="2019-08-18T10:16:12.28" personId="{EF3831B1-8878-47B9-AE5A-3D4C4055CD6D}" id="{334BD14B-1BF2-4F38-ADAF-3879FFD748BC}">
    <text>Culte vel inculte hereme et vistite</text>
  </threadedComment>
  <threadedComment ref="L30" dT="2020-02-13T09:35:25.71" personId="{C9D8C5C5-CEAC-4088-A866-23345759150B}" id="{61B37404-D426-43CF-A67A-8D0E501901E5}">
    <text>Die lune in festo de collationis beati Johannis</text>
  </threadedComment>
  <threadedComment ref="DC37" dT="2019-07-24T19:32:19.16" personId="{EF3831B1-8878-47B9-AE5A-3D4C4055CD6D}" id="{7777F5AB-94E0-4982-B8E6-734577FA9981}">
    <text>Blaise Médiéval, Estra = Portique, galerie, appentis, devanture, maisonnette</text>
  </threadedComment>
  <threadedComment ref="DC40" dT="2019-07-24T19:32:19.16" personId="{EF3831B1-8878-47B9-AE5A-3D4C4055CD6D}" id="{6945B864-5591-4A42-AA6C-67A608646E4A}">
    <text>Blaise Médiéval, Estra = Portique, galerie, appentis, devanture, maisonnette</text>
  </threadedComment>
  <threadedComment ref="BX44" dT="2019-08-07T12:54:24.95" personId="{EF3831B1-8878-47B9-AE5A-3D4C4055CD6D}" id="{015251D9-6367-42C2-BCBD-E766580EEC68}">
    <text>Ad mensuram Borzezam</text>
  </threadedComment>
  <threadedComment ref="L46" dT="2020-02-13T09:30:14.29" personId="{C9D8C5C5-CEAC-4088-A866-23345759150B}" id="{F349D165-8D62-470C-8031-DAC9F17B7DD7}">
    <text>Die Jonis post festum iunentionis sancte crucis</text>
  </threadedComment>
  <threadedComment ref="J47" dT="2020-02-11T13:46:53.82" personId="{C9D8C5C5-CEAC-4088-A866-23345759150B}" id="{BD948BEB-B812-4C9B-A3F5-8E483DA586F3}">
    <text>n. st.</text>
  </threadedComment>
  <threadedComment ref="W50" dT="2019-07-30T18:19:04.58" personId="{EF3831B1-8878-47B9-AE5A-3D4C4055CD6D}" id="{C97E3B20-29A7-44E7-9563-896C8F9B2C23}">
    <text>Dont un lui appartient en propre</text>
  </threadedComment>
  <threadedComment ref="J56" dT="2020-02-11T12:59:27.17" personId="{C9D8C5C5-CEAC-4088-A866-23345759150B}" id="{28699DE9-599E-43BC-A35D-2EA69A445E6B}">
    <text>n. st.</text>
  </threadedComment>
  <threadedComment ref="J72" dT="2020-02-11T12:39:16.98" personId="{C9D8C5C5-CEAC-4088-A866-23345759150B}" id="{5D8A6B34-15D8-46AC-B308-9025D76B47BD}">
    <text>n. st.</text>
  </threadedComment>
  <threadedComment ref="BV73" dT="2019-07-24T10:35:13.99" personId="{EF3831B1-8878-47B9-AE5A-3D4C4055CD6D}" id="{C86DDAA1-30FA-4E8C-8EFE-99929FE7EC34}">
    <text>Ad mensuram de Fayno</text>
  </threadedComment>
  <threadedComment ref="BR74" dT="2020-03-02T11:10:02.19" personId="{C9D8C5C5-CEAC-4088-A866-23345759150B}" id="{1E92B553-C295-47F7-861B-F20A602993F5}">
    <text>Dont 2 coqs</text>
  </threadedComment>
  <threadedComment ref="AA90" dT="2019-08-14T08:57:18.87" personId="{EF3831B1-8878-47B9-AE5A-3D4C4055CD6D}" id="{2D1CB5D7-D920-40F0-9428-AE6BE790CCA1}">
    <text>Sive Bessea</text>
  </threadedComment>
  <threadedComment ref="J94" dT="2020-02-11T13:28:35.96" personId="{C9D8C5C5-CEAC-4088-A866-23345759150B}" id="{63B7BB15-6BA5-4307-AD7C-7F41E108FE0E}">
    <text>n. st.</text>
  </threadedComment>
  <threadedComment ref="BW94" dT="2019-08-07T12:54:24.95" personId="{EF3831B1-8878-47B9-AE5A-3D4C4055CD6D}" id="{3D26DDDA-A145-4D18-AE55-3ECAD31A49E4}">
    <text>Ad mensuram Devesseti</text>
  </threadedComment>
  <threadedComment ref="BW95" dT="2019-08-07T12:54:24.95" personId="{EF3831B1-8878-47B9-AE5A-3D4C4055CD6D}" id="{3405BCCF-F52C-4126-BAA4-527468E952F7}">
    <text>Ad mensuram Devesseti</text>
  </threadedComment>
  <threadedComment ref="BX96" dT="2019-08-07T12:54:24.95" personId="{EF3831B1-8878-47B9-AE5A-3D4C4055CD6D}" id="{2882F9C4-A5F7-44C0-A38A-C88A40589076}">
    <text>Ad mensuram Devesseti</text>
  </threadedComment>
  <threadedComment ref="BX98" dT="2019-08-07T12:54:24.95" personId="{EF3831B1-8878-47B9-AE5A-3D4C4055CD6D}" id="{F93650A5-C018-44EE-AB3F-A8936C55B497}">
    <text>Ad mensuram Devesseti</text>
  </threadedComment>
  <threadedComment ref="J99" dT="2020-02-11T13:48:07.82" personId="{C9D8C5C5-CEAC-4088-A866-23345759150B}" id="{1617D872-95C0-4825-8149-094AFC319F91}">
    <text>n. st.</text>
  </threadedComment>
  <threadedComment ref="Q103" dT="2019-07-22T08:08:30.35" personId="{EF3831B1-8878-47B9-AE5A-3D4C4055CD6D}" id="{A2BE641F-A9E3-478A-81FD-CC109142E120}">
    <text>Manoperas</text>
  </threadedComment>
  <threadedComment ref="BX103" dT="2019-07-22T09:28:43.70" personId="{EF3831B1-8878-47B9-AE5A-3D4C4055CD6D}" id="{8940013F-3B37-4EDB-9F44-0FF584AD4573}">
    <text>Ad mensuram Devesseti, dont 1/2 ad mensuram Devesseti et 1/2 Tensanes</text>
  </threadedComment>
  <threadedComment ref="BX104" dT="2019-07-22T11:00:06.85" personId="{EF3831B1-8878-47B9-AE5A-3D4C4055CD6D}" id="{6180CD88-2161-4DF8-B253-C2E56264262F}">
    <text>Mensuram Devesseti sive Borzezam</text>
  </threadedComment>
  <threadedComment ref="CF104" dT="2019-07-22T10:59:50.92" personId="{EF3831B1-8878-47B9-AE5A-3D4C4055CD6D}" id="{88CD99EB-4323-4649-A931-7386C4D7CA36}">
    <text>Mensuram Devesseti sive Borzezam</text>
  </threadedComment>
  <threadedComment ref="CG104" dT="2019-08-18T19:43:03.28" personId="{EF3831B1-8878-47B9-AE5A-3D4C4055CD6D}" id="{3E3E217E-EA8C-439D-9F1D-1FC263EC5040}">
    <text>Ad mensuram Tensani</text>
  </threadedComment>
  <threadedComment ref="CT113" dT="2020-03-01T15:39:38.25" personId="{C9D8C5C5-CEAC-4088-A866-23345759150B}" id="{5A679A72-28C5-4F0A-8E25-3BF52D2CD9AC}">
    <text>?</text>
  </threadedComment>
  <threadedComment ref="J118" dT="2020-02-11T08:22:26.75" personId="{C9D8C5C5-CEAC-4088-A866-23345759150B}" id="{DA4004C7-33E4-4F12-AEDD-6A1539F82833}">
    <text>1344 n. st.</text>
  </threadedComment>
  <threadedComment ref="BR121" dT="2020-03-02T11:10:10.10" personId="{C9D8C5C5-CEAC-4088-A866-23345759150B}" id="{48B15459-0F51-4E81-9467-D29057392D17}">
    <text>Coqs</text>
  </threadedComment>
  <threadedComment ref="J122" dT="2020-02-11T08:39:25.03" personId="{C9D8C5C5-CEAC-4088-A866-23345759150B}" id="{6617AD20-F59F-4877-9E10-38C4B80F55B6}">
    <text>n. st.</text>
  </threadedComment>
  <threadedComment ref="CO127" dT="2019-08-09T10:41:25.89" personId="{EF3831B1-8878-47B9-AE5A-3D4C4055CD6D}" id="{F13F30AE-63D6-47EF-B437-9CA7D4E3EFC4}">
    <text>De unobus cumule</text>
  </threadedComment>
  <threadedComment ref="Q131" dT="2019-07-22T08:08:30.35" personId="{EF3831B1-8878-47B9-AE5A-3D4C4055CD6D}" id="{61CCCD9B-75E7-49A4-AAF5-07A3A0C5F7E8}">
    <text>Manoperas</text>
  </threadedComment>
  <threadedComment ref="CJ133" dT="2019-08-07T12:54:24.95" personId="{EF3831B1-8878-47B9-AE5A-3D4C4055CD6D}" id="{4BE09BA6-A1AF-44BF-8016-192A28B0B34F}">
    <text>Ad mensuram Devesseti</text>
  </threadedComment>
  <threadedComment ref="J151" dT="2020-02-11T07:57:29.15" personId="{C9D8C5C5-CEAC-4088-A866-23345759150B}" id="{54647F6A-932E-4B4B-9AF0-056ED1BFB771}">
    <text>1343 n. st.</text>
  </threadedComment>
  <threadedComment ref="J153" dT="2020-02-11T13:28:35.96" personId="{C9D8C5C5-CEAC-4088-A866-23345759150B}" id="{03E9D661-1C22-444A-B0C8-FC5DC9E15636}">
    <text>n. st.</text>
  </threadedComment>
  <threadedComment ref="L154" dT="2020-02-13T09:34:48.67" personId="{C9D8C5C5-CEAC-4088-A866-23345759150B}" id="{F0E0EA7A-CB68-40D7-805F-951A78E14F52}">
    <text>Die Sabati in festo Beati Johannis Anthoni</text>
  </threadedComment>
  <threadedComment ref="L155" dT="2020-02-13T09:34:48.67" personId="{C9D8C5C5-CEAC-4088-A866-23345759150B}" id="{8C820329-BB72-4B53-BB0D-2F3F4B757994}">
    <text>Die Sabati in festo Beati Johannis Anthoni</text>
  </threadedComment>
  <threadedComment ref="L156" dT="2020-02-13T09:34:48.67" personId="{C9D8C5C5-CEAC-4088-A866-23345759150B}" id="{E2B77381-3E7E-4A3D-96F8-EDE095233DAF}">
    <text>Die Sabati in festo Beati Johannis Anthoni</text>
  </threadedComment>
  <threadedComment ref="L161" dT="2020-02-13T09:30:08.85" personId="{C9D8C5C5-CEAC-4088-A866-23345759150B}" id="{C3536127-D30F-47D9-9793-F950217E2F72}">
    <text>Die Martis post festum Beati Martini Yemalis</text>
  </threadedComment>
  <threadedComment ref="L162" dT="2020-02-13T09:39:21.90" personId="{C9D8C5C5-CEAC-4088-A866-23345759150B}" id="{72EF8B83-3C85-44FD-85F2-FD4C1CBA8168}">
    <text>Die lune post festum Catedre Sancti Petri</text>
  </threadedComment>
  <threadedComment ref="L168" dT="2020-02-13T09:31:23.76" personId="{C9D8C5C5-CEAC-4088-A866-23345759150B}" id="{441CB76E-6E78-4F43-87DF-79552FD43BDE}">
    <text>Die mercuri ante festum omnium sanctorum</text>
  </threadedComment>
  <threadedComment ref="BX175" dT="2019-08-07T12:54:24.95" personId="{EF3831B1-8878-47B9-AE5A-3D4C4055CD6D}" id="{E7B3CAE1-C32C-4D39-9D42-DE707574EBB5}">
    <text>Ad mensuram Devesseti</text>
  </threadedComment>
  <threadedComment ref="BY175" dT="2019-08-07T12:54:24.95" personId="{EF3831B1-8878-47B9-AE5A-3D4C4055CD6D}" id="{7945B45C-1151-40E2-93D4-19393412EB76}">
    <text>Ad mensuram Devesseti</text>
  </threadedComment>
  <threadedComment ref="BX185" dT="2019-08-07T12:54:24.95" personId="{EF3831B1-8878-47B9-AE5A-3D4C4055CD6D}" id="{72171436-69F9-4519-923A-644C6DAAA4A8}">
    <text>Ad mensuram Devesseti</text>
  </threadedComment>
  <threadedComment ref="L188" dT="2020-02-13T09:30:14.29" personId="{C9D8C5C5-CEAC-4088-A866-23345759150B}" id="{558CC3CC-BF57-4DD3-8408-20CE618A7238}">
    <text>Die Jonis post festum iunentionis sancte crucis</text>
  </threadedComment>
  <threadedComment ref="AE188" dT="2019-07-23T11:20:41.01" personId="{EF3831B1-8878-47B9-AE5A-3D4C4055CD6D}" id="{564686C4-2A6E-439E-A422-A9740A165B7E}">
    <text>Casale</text>
  </threadedComment>
  <threadedComment ref="L189" dT="2020-02-13T09:30:14.29" personId="{C9D8C5C5-CEAC-4088-A866-23345759150B}" id="{C9065431-33F7-47CE-BEEF-A2227419070B}">
    <text>Die Jonis post festum iunentionis sancte crucis</text>
  </threadedComment>
  <threadedComment ref="AE189" dT="2019-07-23T11:20:41.01" personId="{EF3831B1-8878-47B9-AE5A-3D4C4055CD6D}" id="{D22B6B61-4021-4F33-B5BA-1ECC3B9F97D2}">
    <text>Casale</text>
  </threadedComment>
  <threadedComment ref="L190" dT="2020-02-13T09:30:14.29" personId="{C9D8C5C5-CEAC-4088-A866-23345759150B}" id="{435CBA50-8266-42CA-9A1D-4E298AC6E3B9}">
    <text>Die Jonis post festum iunentionis sancte crucis</text>
  </threadedComment>
  <threadedComment ref="L194" dT="2020-02-13T09:31:23.76" personId="{C9D8C5C5-CEAC-4088-A866-23345759150B}" id="{40ADA327-DE5B-463F-9B1F-9BA6A18638F3}">
    <text>Die mercuri ante festum omnium sanctorum</text>
  </threadedComment>
  <threadedComment ref="L197" dT="2020-02-13T09:34:48.67" personId="{C9D8C5C5-CEAC-4088-A866-23345759150B}" id="{01C89E39-7E43-4881-83EE-EAE30A9B12A7}">
    <text>Die Sabati in festo Beati Johannis Anthoni</text>
  </threadedComment>
  <threadedComment ref="L200" dT="2020-02-13T09:30:14.29" personId="{C9D8C5C5-CEAC-4088-A866-23345759150B}" id="{1182E939-2FC5-42CF-8091-37827EA97104}">
    <text>Die Jonis post festum iunentionis sancte crucis</text>
  </threadedComment>
  <threadedComment ref="L209" dT="2020-02-13T09:31:23.76" personId="{C9D8C5C5-CEAC-4088-A866-23345759150B}" id="{9C2AB42A-8B1D-4148-9165-66772E319129}">
    <text>Die mercuri ante festum omnium sanctorum</text>
  </threadedComment>
  <threadedComment ref="Q210" dT="2019-07-22T08:08:30.35" personId="{EF3831B1-8878-47B9-AE5A-3D4C4055CD6D}" id="{4BECF6EF-24DE-4041-B4C7-BAD4FFFD1310}">
    <text>Manoperas</text>
  </threadedComment>
  <threadedComment ref="G211" dT="2019-07-29T16:16:33.86" personId="{EF3831B1-8878-47B9-AE5A-3D4C4055CD6D}" id="{61A023B6-A657-434E-A140-6BAD27CBE5C1}">
    <text>Cardinus = Jardin</text>
  </threadedComment>
</ThreadedComments>
</file>

<file path=xl/threadedComments/threadedComment3.xml><?xml version="1.0" encoding="utf-8"?>
<ThreadedComments xmlns="http://schemas.microsoft.com/office/spreadsheetml/2018/threadedcomments" xmlns:x="http://schemas.openxmlformats.org/spreadsheetml/2006/main">
  <threadedComment ref="H32" dT="2020-03-06T09:36:21.14" personId="{C9D8C5C5-CEAC-4088-A866-23345759150B}" id="{B9C11221-CF62-41E1-A999-A3BCD563E5B2}">
    <text>Coq</text>
  </threadedComment>
  <threadedComment ref="I53" dT="2019-07-23T18:46:13.13" personId="{EF3831B1-8878-47B9-AE5A-3D4C4055CD6D}" id="{8CAA14BB-4CDA-453E-A709-ED19C7D12625}">
    <text>Ad mensuram de Fayno</text>
  </threadedComment>
  <threadedComment ref="M57" dT="2019-07-24T10:59:50.48" personId="{EF3831B1-8878-47B9-AE5A-3D4C4055CD6D}" id="{3817C7F3-CA00-4546-9D3B-1E2C0ED8F3CB}">
    <text>Ad mensuram Fayni</text>
  </threadedComment>
  <threadedComment ref="L58" dT="2019-07-24T10:59:50.48" personId="{EF3831B1-8878-47B9-AE5A-3D4C4055CD6D}" id="{06D42226-31A5-4EA2-8948-61073E7C9853}">
    <text>Ad mensuram Fayni</text>
  </threadedComment>
  <threadedComment ref="M58" dT="2019-07-24T10:59:50.48" personId="{EF3831B1-8878-47B9-AE5A-3D4C4055CD6D}" id="{30EEAC58-2A86-40A4-AB52-A72D9BD156F2}">
    <text>Ad mensuram Fayni</text>
  </threadedComment>
  <threadedComment ref="V58" dT="2019-07-24T10:59:50.48" personId="{EF3831B1-8878-47B9-AE5A-3D4C4055CD6D}" id="{330893F8-D143-413F-AD5C-B6E1E6823EED}">
    <text>Ad mensuram Fayni</text>
  </threadedComment>
  <threadedComment ref="M67" dT="2019-07-24T10:59:50.48" personId="{EF3831B1-8878-47B9-AE5A-3D4C4055CD6D}" id="{DF89E255-6AED-4DD1-844C-D866BAD8DAB4}">
    <text>Ad mensuram Fayni</text>
  </threadedComment>
  <threadedComment ref="T67" dT="2019-07-24T10:59:50.48" personId="{EF3831B1-8878-47B9-AE5A-3D4C4055CD6D}" id="{C3DB2642-1BFD-4197-8F3E-BD13F1FAF355}">
    <text>Ad mensuram Fayni</text>
  </threadedComment>
  <threadedComment ref="H75" dT="2020-03-06T09:36:21.14" personId="{C9D8C5C5-CEAC-4088-A866-23345759150B}" id="{32718CF0-9BC3-48C4-AD78-57C742450BD9}">
    <text>Coq</text>
  </threadedComment>
  <threadedComment ref="M81" dT="2019-07-24T10:59:50.48" personId="{EF3831B1-8878-47B9-AE5A-3D4C4055CD6D}" id="{EF7C9427-AF1C-4FA0-91BE-DF6658940818}">
    <text>Ad mensuram Fayni</text>
  </threadedComment>
  <threadedComment ref="U81" dT="2019-07-24T10:59:50.48" personId="{EF3831B1-8878-47B9-AE5A-3D4C4055CD6D}" id="{04388769-161D-4BDB-AA0E-00416FAD6748}">
    <text>Ad mensuram Fayni</text>
  </threadedComment>
  <threadedComment ref="N82" dT="2019-07-24T10:59:50.48" personId="{EF3831B1-8878-47B9-AE5A-3D4C4055CD6D}" id="{E7C753AF-BA14-4090-9239-D75055F3328B}">
    <text>Ad mensuram Fayni</text>
  </threadedComment>
  <threadedComment ref="N83" dT="2019-07-24T10:59:50.48" personId="{EF3831B1-8878-47B9-AE5A-3D4C4055CD6D}" id="{6F291AE9-00CC-4A9D-9E6D-9E6B86F87DAC}">
    <text>Ad mensuram Fayni</text>
  </threadedComment>
  <threadedComment ref="U83" dT="2019-07-24T10:59:50.48" personId="{EF3831B1-8878-47B9-AE5A-3D4C4055CD6D}" id="{88A7EEBD-316A-4218-96CB-46850E43943B}">
    <text>Ad mensuram Fayni</text>
  </threadedComment>
  <threadedComment ref="M84" dT="2019-07-24T10:59:50.48" personId="{EF3831B1-8878-47B9-AE5A-3D4C4055CD6D}" id="{6F94B921-C5F1-416D-A9F0-8F6677C62762}">
    <text>Ad mensuram Fayni</text>
  </threadedComment>
  <threadedComment ref="M85" dT="2019-07-24T10:59:50.48" personId="{EF3831B1-8878-47B9-AE5A-3D4C4055CD6D}" id="{FA31CEAD-8100-4413-8BFD-E2543EC50422}">
    <text>Ad mensuram Fayni</text>
  </threadedComment>
  <threadedComment ref="T85" dT="2019-07-24T10:59:50.48" personId="{EF3831B1-8878-47B9-AE5A-3D4C4055CD6D}" id="{86BFA940-771D-4325-8EB8-8D66A96E9869}">
    <text>Ad mensuram Fayni</text>
  </threadedComment>
  <threadedComment ref="M87" dT="2019-07-24T10:59:50.48" personId="{EF3831B1-8878-47B9-AE5A-3D4C4055CD6D}" id="{33A80041-9FE4-4DF3-B77B-BDD349CF56FE}">
    <text>Ad mensuram Fayni</text>
  </threadedComment>
  <threadedComment ref="T87" dT="2019-07-24T10:59:50.48" personId="{EF3831B1-8878-47B9-AE5A-3D4C4055CD6D}" id="{D2937009-7989-404E-97F8-610DF7FECE44}">
    <text>Ad mensuram Fayni</text>
  </threadedComment>
  <threadedComment ref="N89" dT="2019-07-24T10:59:50.48" personId="{EF3831B1-8878-47B9-AE5A-3D4C4055CD6D}" id="{1F692414-B72F-4865-A0F3-B3FDDB026211}">
    <text>Ad mensuram Fayni</text>
  </threadedComment>
  <threadedComment ref="M90" dT="2019-08-02T08:54:51.95" personId="{EF3831B1-8878-47B9-AE5A-3D4C4055CD6D}" id="{ED5F63C1-69C4-42C9-A05C-445E7E3BD7E6}">
    <text>Ad mensuram Fayni</text>
  </threadedComment>
  <threadedComment ref="N90" dT="2019-08-02T08:54:24.03" personId="{EF3831B1-8878-47B9-AE5A-3D4C4055CD6D}" id="{759BDD1C-DCFE-416A-86B4-51D0973BB800}">
    <text>Ad mensuram Fayni</text>
  </threadedComment>
  <threadedComment ref="T90" dT="2019-08-02T08:54:32.79" personId="{EF3831B1-8878-47B9-AE5A-3D4C4055CD6D}" id="{752C6C73-9047-4EA5-8352-FEB727B92F73}">
    <text>Ad mensuram Fayni</text>
  </threadedComment>
  <threadedComment ref="U90" dT="2019-08-02T08:54:24.03" personId="{EF3831B1-8878-47B9-AE5A-3D4C4055CD6D}" id="{C8C01ACA-C0DC-4A50-A7AF-73494E7AB436}">
    <text>Ad mensuram Fayni</text>
  </threadedComment>
  <threadedComment ref="AD94" dT="2019-08-04T11:16:24.98" personId="{EF3831B1-8878-47B9-AE5A-3D4C4055CD6D}" id="{94074D91-1916-4E30-ACC5-72B10E597A3A}">
    <text>Vel unius polhas</text>
  </threadedComment>
  <threadedComment ref="L103" dT="2019-08-05T11:32:59.22" personId="{EF3831B1-8878-47B9-AE5A-3D4C4055CD6D}" id="{2E85584D-A138-4C30-83AA-9D7FAB1AF367}">
    <text>Ad mensuram Fayni</text>
  </threadedComment>
  <threadedComment ref="T103" dT="2019-08-05T11:32:59.22" personId="{EF3831B1-8878-47B9-AE5A-3D4C4055CD6D}" id="{BCB9FD1C-AA5B-4F37-B5BB-16147DDC11BF}">
    <text>Ad mensuram Fayni</text>
  </threadedComment>
  <threadedComment ref="N113" dT="2019-08-07T11:06:35.70" personId="{EF3831B1-8878-47B9-AE5A-3D4C4055CD6D}" id="{EBC3638A-10E1-47C5-892A-1A1163CEDD46}">
    <text>Ad mensuram de Chalenconio</text>
  </threadedComment>
  <threadedComment ref="O113" dT="2019-08-07T11:06:35.70" personId="{EF3831B1-8878-47B9-AE5A-3D4C4055CD6D}" id="{5D715F4A-A63D-47BE-BE0C-3DEDEED48806}">
    <text>Ad mensuram de Chalenconio</text>
  </threadedComment>
  <threadedComment ref="T113" dT="2019-08-07T11:06:35.70" personId="{EF3831B1-8878-47B9-AE5A-3D4C4055CD6D}" id="{0CBD8F98-1DDE-40B7-B7BD-8A6A53A90420}">
    <text>Ad mensuram de Chalenconio</text>
  </threadedComment>
  <threadedComment ref="U113" dT="2019-08-07T11:06:35.70" personId="{EF3831B1-8878-47B9-AE5A-3D4C4055CD6D}" id="{41837CF3-C800-49F5-8BE0-EB48B9C479A1}">
    <text>Ad mensuram de Chalenconio</text>
  </threadedComment>
  <threadedComment ref="T117" dT="2019-08-07T13:44:02.47" personId="{EF3831B1-8878-47B9-AE5A-3D4C4055CD6D}" id="{D09763C1-F37E-4E38-9AC2-0BC8F08123D2}">
    <text>Ad mensuram Devesseti</text>
  </threadedComment>
  <threadedComment ref="T122" dT="2019-08-07T13:44:02.47" personId="{EF3831B1-8878-47B9-AE5A-3D4C4055CD6D}" id="{40489528-E53F-48F9-B1B1-89248A37CE47}">
    <text>Ad mensuram Devesseti</text>
  </threadedComment>
  <threadedComment ref="T123" dT="2019-08-07T13:44:02.47" personId="{EF3831B1-8878-47B9-AE5A-3D4C4055CD6D}" id="{1EBBAD5C-BFE1-4EEE-BF9F-DAB5E7CD130A}">
    <text>Ad mensuram Devesseti</text>
  </threadedComment>
  <threadedComment ref="T125" dT="2019-08-07T13:44:02.47" personId="{EF3831B1-8878-47B9-AE5A-3D4C4055CD6D}" id="{A5ED471E-65F9-4227-A4C5-1F91AABF9B2F}">
    <text>Ad mensuram Devesseti</text>
  </threadedComment>
  <threadedComment ref="M127" dT="2019-08-07T13:44:02.47" personId="{EF3831B1-8878-47B9-AE5A-3D4C4055CD6D}" id="{C9707098-AFFA-49C7-BAAB-E92F0547096F}">
    <text>Ad mensuram Devesseti</text>
  </threadedComment>
  <threadedComment ref="T127" dT="2019-08-07T13:44:02.47" personId="{EF3831B1-8878-47B9-AE5A-3D4C4055CD6D}" id="{6106B90F-71CE-4748-B7CA-2D930D1A7E03}">
    <text>Ad mensuram Devesseti</text>
  </threadedComment>
  <threadedComment ref="U131" dT="2019-08-07T13:44:02.47" personId="{EF3831B1-8878-47B9-AE5A-3D4C4055CD6D}" id="{8A33C5FF-CF7D-45AF-9395-3842CA0765EE}">
    <text>Ad mensuram Devesseti</text>
  </threadedComment>
  <threadedComment ref="U133" dT="2019-08-07T13:44:02.47" personId="{EF3831B1-8878-47B9-AE5A-3D4C4055CD6D}" id="{23DBD1CB-2AEB-41AB-9F6C-2038193B46F1}">
    <text>Ad mensuram Devesseti</text>
  </threadedComment>
  <threadedComment ref="N136" dT="2019-08-07T13:44:02.47" personId="{EF3831B1-8878-47B9-AE5A-3D4C4055CD6D}" id="{3C1F7DEF-435E-4026-8EBC-F9D5640ECAF7}">
    <text>Ad mensuram Devesseti</text>
  </threadedComment>
  <threadedComment ref="U136" dT="2019-08-07T13:44:02.47" personId="{EF3831B1-8878-47B9-AE5A-3D4C4055CD6D}" id="{180A9EFD-D067-466A-BB96-4ED437F06149}">
    <text>Ad mensuram Devesseti</text>
  </threadedComment>
  <threadedComment ref="U149" dT="2019-08-07T13:44:02.47" personId="{EF3831B1-8878-47B9-AE5A-3D4C4055CD6D}" id="{1183593C-19C2-4F60-A225-0905DE765883}">
    <text>Ad mensuram Devesseti</text>
  </threadedComment>
  <threadedComment ref="T152" dT="2019-08-07T13:44:02.47" personId="{EF3831B1-8878-47B9-AE5A-3D4C4055CD6D}" id="{5E58C306-0490-45F9-8705-71B19769C07B}">
    <text>Ad mensuram Devesseti</text>
  </threadedComment>
  <threadedComment ref="U152" dT="2019-08-07T13:44:02.47" personId="{EF3831B1-8878-47B9-AE5A-3D4C4055CD6D}" id="{DC6DD274-F2FA-4885-999A-7412D3EAE543}">
    <text>Ad mensuram Devesseti</text>
  </threadedComment>
  <threadedComment ref="Z153" dT="2019-08-09T10:41:25.89" personId="{EF3831B1-8878-47B9-AE5A-3D4C4055CD6D}" id="{91D9C4E0-7247-4D77-8C16-6D3AC639BE04}">
    <text>De unobus cumule</text>
  </threadedComment>
  <threadedComment ref="N158" dT="2019-08-07T13:44:02.47" personId="{EF3831B1-8878-47B9-AE5A-3D4C4055CD6D}" id="{F1AACE21-44F4-47B6-A2A8-ED66A3F92698}">
    <text>Ad mensuram Devesseti</text>
  </threadedComment>
  <threadedComment ref="M159" dT="2019-08-07T13:44:02.47" personId="{EF3831B1-8878-47B9-AE5A-3D4C4055CD6D}" id="{D391388D-402D-4CA5-8B93-06E882D13881}">
    <text>Ad mensuram Devesseti</text>
  </threadedComment>
  <threadedComment ref="T159" dT="2019-08-07T13:44:02.47" personId="{EF3831B1-8878-47B9-AE5A-3D4C4055CD6D}" id="{AB817114-876D-4B46-9070-E58F6C9B9782}">
    <text>Ad mensuram Devesseti</text>
  </threadedComment>
  <threadedComment ref="M160" dT="2019-08-07T13:44:02.47" personId="{EF3831B1-8878-47B9-AE5A-3D4C4055CD6D}" id="{5C2BD293-27F8-45D6-932D-5E30F388A091}">
    <text>Ad mensuram Devesseti</text>
  </threadedComment>
  <threadedComment ref="AB162" dT="2019-08-12T11:04:58.36" personId="{EF3831B1-8878-47B9-AE5A-3D4C4055CD6D}" id="{97863488-2467-4B9C-999A-4BA4FA6723CC}">
    <text>Tensuales</text>
  </threadedComment>
  <threadedComment ref="K166" dT="2019-08-12T11:58:21.53" personId="{EF3831B1-8878-47B9-AE5A-3D4C4055CD6D}" id="{DEA87AD1-DBD7-4D9C-81A2-C10F19703E9E}">
    <text>Ad mensuram Fayni</text>
  </threadedComment>
  <threadedComment ref="V166" dT="2019-08-12T11:58:21.53" personId="{EF3831B1-8878-47B9-AE5A-3D4C4055CD6D}" id="{A92A95E6-4D38-425F-A766-13078C4C3F7E}">
    <text>Ad mensuram de Fayno</text>
  </threadedComment>
  <threadedComment ref="K167" dT="2019-08-12T11:58:21.53" personId="{EF3831B1-8878-47B9-AE5A-3D4C4055CD6D}" id="{A6110A56-D157-4EA4-AE44-110B1E51994D}">
    <text>Ad mensuram de Fayno</text>
  </threadedComment>
  <threadedComment ref="R167" dT="2019-08-12T11:58:21.53" personId="{EF3831B1-8878-47B9-AE5A-3D4C4055CD6D}" id="{FD39D64B-88C3-494C-8F16-00F40F86B5EC}">
    <text>Ad mensuram de Fayno</text>
  </threadedComment>
  <threadedComment ref="L171" dT="2019-08-07T13:44:02.47" personId="{EF3831B1-8878-47B9-AE5A-3D4C4055CD6D}" id="{AEFCF7C4-F317-4E24-BBD4-7E2719E30767}">
    <text>Ad mensuram Devesseti</text>
  </threadedComment>
  <threadedComment ref="S171" dT="2019-08-07T13:44:02.47" personId="{EF3831B1-8878-47B9-AE5A-3D4C4055CD6D}" id="{29145B55-9FFC-4B57-B89D-984D515CA015}">
    <text>Ad mensuram Devesseti</text>
  </threadedComment>
  <threadedComment ref="T171" dT="2019-08-07T13:44:02.47" personId="{EF3831B1-8878-47B9-AE5A-3D4C4055CD6D}" id="{9001C9AC-1245-45C0-A442-5DF153D16686}">
    <text>Ad mensuram Devesseti</text>
  </threadedComment>
  <threadedComment ref="T175" dT="2019-08-07T13:44:02.47" personId="{EF3831B1-8878-47B9-AE5A-3D4C4055CD6D}" id="{B02EA9B0-9A0D-4BFF-A8A8-707E54B367CD}">
    <text>Ad mensuram Devesseti</text>
  </threadedComment>
  <threadedComment ref="T179" dT="2019-08-07T13:44:02.47" personId="{EF3831B1-8878-47B9-AE5A-3D4C4055CD6D}" id="{D103D135-C3AC-4EF7-B207-AB4A01A8A4A5}">
    <text>Ad mensuram Devesseti</text>
  </threadedComment>
  <threadedComment ref="U179" dT="2019-08-07T13:44:02.47" personId="{EF3831B1-8878-47B9-AE5A-3D4C4055CD6D}" id="{8CBA9065-9055-4164-B592-9305C911D2B7}">
    <text>Ad mensuram Devesseti</text>
  </threadedComment>
  <threadedComment ref="M182" dT="2019-08-07T13:44:02.47" personId="{EF3831B1-8878-47B9-AE5A-3D4C4055CD6D}" id="{50D6D341-1914-42B3-9255-9914C724A402}">
    <text>Ad mensuram Borzezam</text>
  </threadedComment>
  <threadedComment ref="T188" dT="2019-08-07T13:44:02.47" personId="{EF3831B1-8878-47B9-AE5A-3D4C4055CD6D}" id="{93FC058B-E96A-451B-918A-F017D751E9FB}">
    <text>Ad mensuram Devesseti</text>
  </threadedComment>
  <threadedComment ref="M191" dT="2019-08-07T13:44:02.47" personId="{EF3831B1-8878-47B9-AE5A-3D4C4055CD6D}" id="{067ABF02-5944-4AA9-ADFC-FD0C95E2F0A0}">
    <text>Ad mensuram Devesseti</text>
  </threadedComment>
  <threadedComment ref="T191" dT="2019-08-07T13:44:02.47" personId="{EF3831B1-8878-47B9-AE5A-3D4C4055CD6D}" id="{7AB7F6B2-77D9-4914-864B-9CC13D048FE1}">
    <text>Ad mensuram Devesseti</text>
  </threadedComment>
  <threadedComment ref="L193" dT="2019-08-07T13:44:02.47" personId="{EF3831B1-8878-47B9-AE5A-3D4C4055CD6D}" id="{3080D887-34CB-45D6-B12C-0CD953F025B3}">
    <text>Ad mensuram Devesseti</text>
  </threadedComment>
  <threadedComment ref="S193" dT="2019-08-07T13:44:02.47" personId="{EF3831B1-8878-47B9-AE5A-3D4C4055CD6D}" id="{86E05C03-40A5-40A1-A509-7B145E55C508}">
    <text>Ad mensuram Devesseti</text>
  </threadedComment>
  <threadedComment ref="M194" dT="2019-08-07T13:44:02.47" personId="{EF3831B1-8878-47B9-AE5A-3D4C4055CD6D}" id="{3DFABD0C-B039-42C8-A37F-4AAE3CEC4F51}">
    <text>Ad mensuram Devesseti</text>
  </threadedComment>
  <threadedComment ref="T194" dT="2019-08-07T13:44:02.47" personId="{EF3831B1-8878-47B9-AE5A-3D4C4055CD6D}" id="{B891EF19-B026-4408-A691-FE67CA84FC77}">
    <text>Ad mensuram Devesseti</text>
  </threadedComment>
  <threadedComment ref="M195" dT="2019-08-07T13:44:02.47" personId="{EF3831B1-8878-47B9-AE5A-3D4C4055CD6D}" id="{3DFE3648-BE14-42B7-B44E-B9EC7CAC71A4}">
    <text>Ad mensuram Devesseti</text>
  </threadedComment>
  <threadedComment ref="T195" dT="2019-08-07T13:44:02.47" personId="{EF3831B1-8878-47B9-AE5A-3D4C4055CD6D}" id="{45A1CCB5-F7DC-48DE-BC1F-2357CED932A3}">
    <text>Ad mensuram Devesseti</text>
  </threadedComment>
  <threadedComment ref="N204" dT="2019-08-07T13:44:02.47" personId="{EF3831B1-8878-47B9-AE5A-3D4C4055CD6D}" id="{48392741-A49A-466C-BCA8-75C3316CB19B}">
    <text>Ad mensuram Devesseti</text>
  </threadedComment>
  <threadedComment ref="M205" dT="2019-08-07T13:44:02.47" personId="{EF3831B1-8878-47B9-AE5A-3D4C4055CD6D}" id="{44F5E0D3-52D7-4626-B22A-B33777BBAFCE}">
    <text>Ad mensuram Devesseti</text>
  </threadedComment>
  <threadedComment ref="N205" dT="2019-08-07T13:44:02.47" personId="{EF3831B1-8878-47B9-AE5A-3D4C4055CD6D}" id="{D13BAA17-48DA-4F01-8FE8-15FFB68D6457}">
    <text>Ad mensuram Devesseti</text>
  </threadedComment>
  <threadedComment ref="T205" dT="2019-08-07T13:44:02.47" personId="{EF3831B1-8878-47B9-AE5A-3D4C4055CD6D}" id="{4DFE2001-DDDF-4096-9657-B530006928C6}">
    <text>Ad mensuram Devesseti</text>
  </threadedComment>
  <threadedComment ref="M207" dT="2019-08-07T13:44:02.47" personId="{EF3831B1-8878-47B9-AE5A-3D4C4055CD6D}" id="{0088625C-590D-4303-AF33-80A0F29BA7BE}">
    <text>Ad mensuram Devesseti</text>
  </threadedComment>
  <threadedComment ref="N207" dT="2019-08-07T13:44:02.47" personId="{EF3831B1-8878-47B9-AE5A-3D4C4055CD6D}" id="{E0F31144-0B3D-49BB-9427-2A39139DAD15}">
    <text>Ad mensuram Devesseti</text>
  </threadedComment>
  <threadedComment ref="S207" dT="2019-08-07T13:44:02.47" personId="{EF3831B1-8878-47B9-AE5A-3D4C4055CD6D}" id="{1B96DDF2-FFF6-426C-A60D-954F48DA2E76}">
    <text>Ad mensuram Devesseti</text>
  </threadedComment>
  <threadedComment ref="T207" dT="2019-08-07T13:44:02.47" personId="{EF3831B1-8878-47B9-AE5A-3D4C4055CD6D}" id="{ADBCDE10-FD0C-4680-A51E-7C5860BCC81E}">
    <text>Ad mensuram Devesseti</text>
  </threadedComment>
  <threadedComment ref="N208" dT="2019-08-07T13:44:02.47" personId="{EF3831B1-8878-47B9-AE5A-3D4C4055CD6D}" id="{C30ED58F-C9AB-4BCD-9D93-8BACBFBA29AF}">
    <text>Ad mensuram Devesseti</text>
  </threadedComment>
  <threadedComment ref="V208" dT="2019-08-07T13:44:02.47" personId="{EF3831B1-8878-47B9-AE5A-3D4C4055CD6D}" id="{7515DE7F-DF5A-4767-B8FA-2D6AA11EEEA9}">
    <text>Ad mensuram Devesseti</text>
  </threadedComment>
  <threadedComment ref="T209" dT="2019-08-07T13:44:02.47" personId="{EF3831B1-8878-47B9-AE5A-3D4C4055CD6D}" id="{878204CF-D98B-4BCC-BB38-CAAC54F2F35A}">
    <text>Ad mensuram Devesseti</text>
  </threadedComment>
  <threadedComment ref="T210" dT="2019-08-07T13:44:02.47" personId="{EF3831B1-8878-47B9-AE5A-3D4C4055CD6D}" id="{C685A93E-126E-415C-B301-7733EC3FF005}">
    <text>Ad mensuram Devesseti</text>
  </threadedComment>
  <threadedComment ref="T213" dT="2019-08-07T13:44:02.47" personId="{EF3831B1-8878-47B9-AE5A-3D4C4055CD6D}" id="{B1C486C8-8285-4B01-8E0E-8657678FEA57}">
    <text>Ad mensuram Devesseti</text>
  </threadedComment>
  <threadedComment ref="T214" dT="2019-08-07T13:44:02.47" personId="{EF3831B1-8878-47B9-AE5A-3D4C4055CD6D}" id="{D8AD5D03-157B-4486-98B2-F481CA14E5D0}">
    <text>Ad mensuram Devesseti</text>
  </threadedComment>
  <threadedComment ref="T215" dT="2019-08-07T13:44:02.47" personId="{EF3831B1-8878-47B9-AE5A-3D4C4055CD6D}" id="{18248B3D-028B-40F5-A949-C881E91EE419}">
    <text>Ad mensuram Devesseti</text>
  </threadedComment>
  <threadedComment ref="T216" dT="2019-08-07T13:44:02.47" personId="{EF3831B1-8878-47B9-AE5A-3D4C4055CD6D}" id="{7B0DD61B-7ADD-449F-8FBD-61F10222B683}">
    <text>Ad mensuram Devesseti</text>
  </threadedComment>
  <threadedComment ref="M217" dT="2019-08-07T13:44:02.47" personId="{EF3831B1-8878-47B9-AE5A-3D4C4055CD6D}" id="{9A12D551-46FD-4CD0-9B37-3E3F5006DA67}">
    <text>Ad mensuram Devesseti</text>
  </threadedComment>
  <threadedComment ref="T217" dT="2019-08-07T13:44:02.47" personId="{EF3831B1-8878-47B9-AE5A-3D4C4055CD6D}" id="{BE89EEDF-FC82-4DC0-A5AD-6F9E1027A9BC}">
    <text>Ad mensuram Devesseti</text>
  </threadedComment>
  <threadedComment ref="N219" dT="2019-08-07T13:44:02.47" personId="{EF3831B1-8878-47B9-AE5A-3D4C4055CD6D}" id="{B368074E-C2E1-416E-8CD7-1AF0DA5F3E68}">
    <text>Ad mensuram Devesseti</text>
  </threadedComment>
  <threadedComment ref="U219" dT="2019-08-07T13:44:02.47" personId="{EF3831B1-8878-47B9-AE5A-3D4C4055CD6D}" id="{602F4BB2-89C0-4ED6-A8D5-A30043FF6AD3}">
    <text>Ad mensuram Devesseti</text>
  </threadedComment>
  <threadedComment ref="N220" dT="2019-08-07T13:44:02.47" personId="{EF3831B1-8878-47B9-AE5A-3D4C4055CD6D}" id="{14BB0D3B-D586-418C-9EC8-133294453C5D}">
    <text>Ad mensuram Devesseti</text>
  </threadedComment>
  <threadedComment ref="U220" dT="2019-08-07T13:44:02.47" personId="{EF3831B1-8878-47B9-AE5A-3D4C4055CD6D}" id="{8D7AA34B-6A53-48BE-8333-29ADAF74D59B}">
    <text>Ad mensuram Devesseti</text>
  </threadedComment>
</ThreadedComments>
</file>

<file path=xl/threadedComments/threadedComment4.xml><?xml version="1.0" encoding="utf-8"?>
<ThreadedComments xmlns="http://schemas.microsoft.com/office/spreadsheetml/2018/threadedcomments" xmlns:x="http://schemas.openxmlformats.org/spreadsheetml/2006/main">
  <threadedComment ref="H124" dT="2019-09-16T15:56:28.51" personId="{EF3831B1-8878-47B9-AE5A-3D4C4055CD6D}" id="{EC9612A8-27E7-4E24-83F2-48ADCDF9C1FF}">
    <text>Sive Pategne</text>
  </threadedComment>
  <threadedComment ref="H126" dT="2019-09-16T15:39:11.65" personId="{EF3831B1-8878-47B9-AE5A-3D4C4055CD6D}" id="{D5A2D4BD-CBDD-4999-A026-3F59EC37DC7A}">
    <text>Sive pratum</text>
  </threadedComment>
  <threadedComment ref="H162" dT="2019-09-16T15:48:44.12" personId="{EF3831B1-8878-47B9-AE5A-3D4C4055CD6D}" id="{4499CC00-5F86-4342-B3FB-53210A6279ED}">
    <text>Sive Pra</text>
  </threadedComment>
  <threadedComment ref="C232" dT="2020-01-21T15:46:03.82" personId="{EF3831B1-8878-47B9-AE5A-3D4C4055CD6D}" id="{607ED0BC-469C-46A9-8958-6A4FE827F140}">
    <text>A sortie Saint-Agrève, sur route Mars</text>
  </threadedComment>
  <threadedComment ref="C269" dT="2020-01-21T15:08:54.33" personId="{EF3831B1-8878-47B9-AE5A-3D4C4055CD6D}" id="{E80842CF-E542-423F-9915-3964A1757918}">
    <text>Chercher vers Malagayta</text>
  </threadedComment>
  <threadedComment ref="H392" dT="2019-08-07T11:15:43.96" personId="{EF3831B1-8878-47B9-AE5A-3D4C4055CD6D}" id="{E4CDFF07-9080-417F-901B-F24035DFB8EB}">
    <text>Seu Petre</text>
  </threadedComment>
  <threadedComment ref="C515" dT="2020-01-21T15:22:48.58" personId="{EF3831B1-8878-47B9-AE5A-3D4C4055CD6D}" id="{F76BFF1B-FB82-453E-B18A-3C7C27B4C2C9}">
    <text>Sur route Saint-Agrève, vers Mars</text>
  </threadedComment>
  <threadedComment ref="H540" dT="2019-09-16T16:18:03.68" personId="{EF3831B1-8878-47B9-AE5A-3D4C4055CD6D}" id="{874C4BF3-3556-4468-ACBF-F8D66EA5C5C2}">
    <text>Seu tenementi</text>
  </threadedComment>
  <threadedComment ref="H546" dT="2019-08-09T11:48:38.28" personId="{EF3831B1-8878-47B9-AE5A-3D4C4055CD6D}" id="{DD8BFF58-656C-451E-9C63-E09B519D1BF2}">
    <text>Sive sanhatz</text>
  </threadedComment>
  <threadedComment ref="H578" dT="2019-08-09T14:53:22.36" personId="{EF3831B1-8878-47B9-AE5A-3D4C4055CD6D}" id="{686C024F-8F2E-45FA-8F00-E3A3CEEF61F2}">
    <text>Sive pratum</text>
  </threadedComment>
  <threadedComment ref="I660" dT="2019-08-12T09:48:37.15" personId="{EF3831B1-8878-47B9-AE5A-3D4C4055CD6D}" id="{B2AAC624-4D63-4B90-97C6-8923CDBACFFE}">
    <text>Également appelé Moli Veilh</text>
  </threadedComment>
  <threadedComment ref="H793" dT="2019-08-14T11:12:57.78" personId="{EF3831B1-8878-47B9-AE5A-3D4C4055CD6D}" id="{D47E4A4D-DC09-42E4-9D03-E50136721AA9}">
    <text>Sive Bessaa</text>
  </threadedComment>
  <threadedComment ref="C897" dT="2020-01-21T15:24:27.77" personId="{EF3831B1-8878-47B9-AE5A-3D4C4055CD6D}" id="{E423FF32-7570-4479-BD8A-239F1B37B362}">
    <text>Sud de Chanils</text>
  </threadedComment>
  <threadedComment ref="I953" dT="2020-01-21T15:29:26.92" personId="{EF3831B1-8878-47B9-AE5A-3D4C4055CD6D}" id="{55CEA271-8AAD-481D-AEE5-9CC9663A3721}">
    <text>La Pigotte</text>
  </threadedComment>
  <threadedComment ref="C957" dT="2020-01-21T15:41:41.70" personId="{EF3831B1-8878-47B9-AE5A-3D4C4055CD6D}" id="{CB11AD9C-632B-40F6-BA41-1522A70F4EFF}">
    <text>Malleval</text>
  </threadedComment>
  <threadedComment ref="C976" dT="2020-01-21T15:45:23.87" personId="{EF3831B1-8878-47B9-AE5A-3D4C4055CD6D}" id="{2D35D25C-283E-4496-B194-F2425EB5563D}">
    <text>Au-dessus Eyrieux</text>
  </threadedComment>
  <threadedComment ref="C1014" dT="2020-01-21T15:37:01.76" personId="{EF3831B1-8878-47B9-AE5A-3D4C4055CD6D}" id="{0510E298-EABF-4FB8-942E-83C166FEC351}">
    <text>Sous Chaumargeais et Chaumettes</text>
  </threadedComment>
  <threadedComment ref="H1019" dT="2019-08-18T16:11:36.54" personId="{EF3831B1-8878-47B9-AE5A-3D4C4055CD6D}" id="{5BB2149D-1DB4-421D-A128-C80B2E85618C}">
    <text>Sive pasturale</text>
  </threadedComment>
  <threadedComment ref="H1037" dT="2019-09-16T15:56:41.34" personId="{EF3831B1-8878-47B9-AE5A-3D4C4055CD6D}" id="{7B8E3651-6115-4FC9-BC05-3226EF541BA2}">
    <text>Sive Deves</text>
  </threadedComment>
  <threadedComment ref="H1086" dT="2019-08-19T16:48:28.67" personId="{EF3831B1-8878-47B9-AE5A-3D4C4055CD6D}" id="{0DED063D-E398-4F94-A847-8CCF16F14FD0}">
    <text>Seu calmam</text>
  </threadedComment>
</ThreadedComments>
</file>

<file path=xl/threadedComments/threadedComment5.xml><?xml version="1.0" encoding="utf-8"?>
<ThreadedComments xmlns="http://schemas.microsoft.com/office/spreadsheetml/2018/threadedcomments" xmlns:x="http://schemas.openxmlformats.org/spreadsheetml/2006/main">
  <threadedComment ref="N7" dT="2019-07-24T18:36:10.37" personId="{EF3831B1-8878-47B9-AE5A-3D4C4055CD6D}" id="{A77A6B03-E714-4423-9B54-793958AA28CB}">
    <text>Manoperas</text>
  </threadedComment>
  <threadedComment ref="N12" dT="2019-07-22T08:08:30.35" personId="{EF3831B1-8878-47B9-AE5A-3D4C4055CD6D}" id="{5E922662-E143-4062-A01A-F6EF0C9E299C}">
    <text>Manoperas</text>
  </threadedComment>
  <threadedComment ref="N14" dT="2019-07-24T18:36:10.37" personId="{EF3831B1-8878-47B9-AE5A-3D4C4055CD6D}" id="{A77A6B03-E714-4424-9B54-793958AA28CB}">
    <text>Manoperas</text>
  </threadedComment>
  <threadedComment ref="BO16" dT="2019-08-04T11:16:24.98" personId="{EF3831B1-8878-47B9-AE5A-3D4C4055CD6D}" id="{15C13BFA-0494-4D9E-B5B4-BB1AD1AB1439}">
    <text>Vel unius polhas</text>
  </threadedComment>
  <threadedComment ref="J19" dT="2020-02-13T09:32:48.80" personId="{C9D8C5C5-CEAC-4088-A866-23345759150B}" id="{2437C6C0-A0E1-4EBD-8F15-EA3B5E0F75E8}">
    <text>Die lune post festum beate Fidis</text>
  </threadedComment>
  <threadedComment ref="K22" dT="2019-08-18T20:31:54.92" personId="{EF3831B1-8878-47B9-AE5A-3D4C4055CD6D}" id="{C66C6358-2068-4AAC-8B84-1A3A7CBB01B4}">
    <text>Prioris prioratus Alvernie et preceptoris Devesseti</text>
  </threadedComment>
  <threadedComment ref="K23" dT="2019-08-18T20:31:54.92" personId="{EF3831B1-8878-47B9-AE5A-3D4C4055CD6D}" id="{56A8B0D5-BE36-47F8-9DF3-7AFCD5E2E8B7}">
    <text>Prioris prioratus Alvernie et preceptoris Devesseti</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K233"/>
  <sheetViews>
    <sheetView topLeftCell="A177" workbookViewId="0">
      <selection activeCell="D172" sqref="D172"/>
    </sheetView>
  </sheetViews>
  <sheetFormatPr baseColWidth="10" defaultRowHeight="15" x14ac:dyDescent="0.25"/>
  <cols>
    <col min="3" max="3" width="16.7109375" bestFit="1" customWidth="1"/>
    <col min="4" max="4" width="23.140625" bestFit="1" customWidth="1"/>
    <col min="5" max="5" width="19.85546875" bestFit="1" customWidth="1"/>
    <col min="7" max="7" width="24.7109375" bestFit="1" customWidth="1"/>
    <col min="8" max="8" width="27.42578125" bestFit="1" customWidth="1"/>
    <col min="9" max="9" width="26.140625" bestFit="1" customWidth="1"/>
    <col min="10" max="10" width="37.85546875" bestFit="1" customWidth="1"/>
  </cols>
  <sheetData>
    <row r="1" spans="1:11" x14ac:dyDescent="0.25">
      <c r="A1" t="s">
        <v>280</v>
      </c>
      <c r="B1" t="s">
        <v>3742</v>
      </c>
      <c r="C1" t="s">
        <v>187</v>
      </c>
      <c r="D1" t="s">
        <v>186</v>
      </c>
      <c r="E1" t="s">
        <v>185</v>
      </c>
      <c r="F1" t="s">
        <v>188</v>
      </c>
      <c r="G1" t="s">
        <v>184</v>
      </c>
      <c r="H1" t="s">
        <v>183</v>
      </c>
      <c r="I1" t="s">
        <v>182</v>
      </c>
      <c r="J1" t="s">
        <v>181</v>
      </c>
      <c r="K1" t="s">
        <v>3849</v>
      </c>
    </row>
    <row r="2" spans="1:11" x14ac:dyDescent="0.25">
      <c r="A2">
        <v>142</v>
      </c>
      <c r="B2">
        <v>811</v>
      </c>
      <c r="C2" t="s">
        <v>165</v>
      </c>
      <c r="D2" t="s">
        <v>1197</v>
      </c>
      <c r="G2" t="s">
        <v>148</v>
      </c>
    </row>
    <row r="3" spans="1:11" x14ac:dyDescent="0.25">
      <c r="A3">
        <v>151</v>
      </c>
      <c r="B3">
        <v>812</v>
      </c>
      <c r="C3" t="s">
        <v>11</v>
      </c>
      <c r="D3" t="s">
        <v>1197</v>
      </c>
      <c r="G3" t="s">
        <v>148</v>
      </c>
      <c r="J3" t="s">
        <v>192</v>
      </c>
    </row>
    <row r="4" spans="1:11" x14ac:dyDescent="0.25">
      <c r="A4">
        <v>161</v>
      </c>
      <c r="B4">
        <v>821</v>
      </c>
      <c r="C4" t="s">
        <v>250</v>
      </c>
      <c r="D4" t="s">
        <v>1219</v>
      </c>
      <c r="E4" t="s">
        <v>3836</v>
      </c>
      <c r="F4" t="s">
        <v>3841</v>
      </c>
    </row>
    <row r="5" spans="1:11" x14ac:dyDescent="0.25">
      <c r="A5">
        <v>162</v>
      </c>
      <c r="B5">
        <v>821</v>
      </c>
      <c r="C5" t="s">
        <v>39</v>
      </c>
      <c r="D5" t="s">
        <v>1220</v>
      </c>
      <c r="G5" t="s">
        <v>148</v>
      </c>
    </row>
    <row r="6" spans="1:11" x14ac:dyDescent="0.25">
      <c r="A6">
        <v>171</v>
      </c>
      <c r="B6">
        <v>822</v>
      </c>
      <c r="C6" t="s">
        <v>154</v>
      </c>
      <c r="D6" t="s">
        <v>3772</v>
      </c>
      <c r="G6" t="s">
        <v>148</v>
      </c>
      <c r="H6" t="s">
        <v>10</v>
      </c>
      <c r="I6" t="s">
        <v>153</v>
      </c>
      <c r="J6" t="s">
        <v>71</v>
      </c>
    </row>
    <row r="7" spans="1:11" x14ac:dyDescent="0.25">
      <c r="A7">
        <v>181</v>
      </c>
      <c r="B7">
        <v>831</v>
      </c>
      <c r="C7" t="s">
        <v>465</v>
      </c>
      <c r="D7" t="s">
        <v>3790</v>
      </c>
      <c r="G7" t="s">
        <v>148</v>
      </c>
    </row>
    <row r="8" spans="1:11" s="5" customFormat="1" x14ac:dyDescent="0.25">
      <c r="A8">
        <v>182</v>
      </c>
      <c r="B8">
        <v>832</v>
      </c>
      <c r="C8" t="s">
        <v>465</v>
      </c>
      <c r="D8" t="s">
        <v>3770</v>
      </c>
      <c r="E8"/>
      <c r="F8"/>
      <c r="G8" t="s">
        <v>148</v>
      </c>
      <c r="H8"/>
      <c r="I8"/>
      <c r="J8"/>
      <c r="K8"/>
    </row>
    <row r="9" spans="1:11" s="5" customFormat="1" x14ac:dyDescent="0.25">
      <c r="A9">
        <v>191</v>
      </c>
      <c r="B9">
        <v>833</v>
      </c>
      <c r="C9" t="s">
        <v>37</v>
      </c>
      <c r="D9" t="s">
        <v>152</v>
      </c>
      <c r="E9"/>
      <c r="F9"/>
      <c r="G9" t="s">
        <v>148</v>
      </c>
      <c r="H9" t="s">
        <v>41</v>
      </c>
      <c r="I9" t="s">
        <v>151</v>
      </c>
      <c r="J9" t="s">
        <v>146</v>
      </c>
      <c r="K9"/>
    </row>
    <row r="10" spans="1:11" s="5" customFormat="1" x14ac:dyDescent="0.25">
      <c r="A10">
        <v>201</v>
      </c>
      <c r="B10">
        <v>841</v>
      </c>
      <c r="C10" t="s">
        <v>11</v>
      </c>
      <c r="D10" t="s">
        <v>1220</v>
      </c>
      <c r="E10"/>
      <c r="F10"/>
      <c r="G10" t="s">
        <v>148</v>
      </c>
      <c r="H10"/>
      <c r="I10"/>
      <c r="J10"/>
      <c r="K10"/>
    </row>
    <row r="11" spans="1:11" x14ac:dyDescent="0.25">
      <c r="A11">
        <v>211</v>
      </c>
      <c r="B11">
        <v>842</v>
      </c>
      <c r="C11" t="s">
        <v>1282</v>
      </c>
      <c r="D11" t="s">
        <v>150</v>
      </c>
      <c r="G11" t="s">
        <v>148</v>
      </c>
    </row>
    <row r="12" spans="1:11" x14ac:dyDescent="0.25">
      <c r="A12">
        <v>221</v>
      </c>
      <c r="B12">
        <v>851</v>
      </c>
      <c r="C12" t="s">
        <v>138</v>
      </c>
      <c r="D12" t="s">
        <v>149</v>
      </c>
      <c r="G12" t="s">
        <v>148</v>
      </c>
    </row>
    <row r="13" spans="1:11" x14ac:dyDescent="0.25">
      <c r="A13">
        <v>231</v>
      </c>
      <c r="B13">
        <v>852</v>
      </c>
      <c r="C13" t="s">
        <v>104</v>
      </c>
      <c r="D13" t="s">
        <v>3791</v>
      </c>
      <c r="G13" t="s">
        <v>148</v>
      </c>
    </row>
    <row r="14" spans="1:11" x14ac:dyDescent="0.25">
      <c r="A14">
        <v>241</v>
      </c>
      <c r="B14">
        <v>861</v>
      </c>
      <c r="C14" t="s">
        <v>37</v>
      </c>
      <c r="D14" t="s">
        <v>218</v>
      </c>
      <c r="G14" t="s">
        <v>148</v>
      </c>
    </row>
    <row r="15" spans="1:11" x14ac:dyDescent="0.25">
      <c r="A15">
        <v>251</v>
      </c>
      <c r="B15">
        <v>862</v>
      </c>
      <c r="C15" t="s">
        <v>233</v>
      </c>
      <c r="D15" t="s">
        <v>3765</v>
      </c>
      <c r="G15" t="s">
        <v>148</v>
      </c>
    </row>
    <row r="16" spans="1:11" x14ac:dyDescent="0.25">
      <c r="A16">
        <v>261</v>
      </c>
      <c r="B16">
        <v>863</v>
      </c>
      <c r="C16" t="s">
        <v>3771</v>
      </c>
      <c r="D16" t="s">
        <v>1233</v>
      </c>
      <c r="G16" t="s">
        <v>148</v>
      </c>
      <c r="H16" t="s">
        <v>41</v>
      </c>
      <c r="I16" t="s">
        <v>147</v>
      </c>
      <c r="J16" t="s">
        <v>146</v>
      </c>
    </row>
    <row r="17" spans="1:7" x14ac:dyDescent="0.25">
      <c r="A17">
        <v>271</v>
      </c>
      <c r="B17">
        <v>864</v>
      </c>
      <c r="C17" t="s">
        <v>465</v>
      </c>
      <c r="D17" t="s">
        <v>374</v>
      </c>
      <c r="G17" t="s">
        <v>139</v>
      </c>
    </row>
    <row r="18" spans="1:7" x14ac:dyDescent="0.25">
      <c r="A18">
        <v>272</v>
      </c>
      <c r="B18">
        <v>865</v>
      </c>
      <c r="C18" t="s">
        <v>13</v>
      </c>
      <c r="D18" t="s">
        <v>266</v>
      </c>
      <c r="E18" t="s">
        <v>79</v>
      </c>
      <c r="G18" t="s">
        <v>139</v>
      </c>
    </row>
    <row r="19" spans="1:7" x14ac:dyDescent="0.25">
      <c r="A19">
        <v>281</v>
      </c>
      <c r="B19">
        <v>871</v>
      </c>
      <c r="C19" t="s">
        <v>276</v>
      </c>
      <c r="D19" t="s">
        <v>145</v>
      </c>
      <c r="G19" t="s">
        <v>139</v>
      </c>
    </row>
    <row r="20" spans="1:7" x14ac:dyDescent="0.25">
      <c r="A20">
        <v>291</v>
      </c>
      <c r="B20">
        <v>872</v>
      </c>
      <c r="C20" t="s">
        <v>3754</v>
      </c>
      <c r="D20" t="s">
        <v>145</v>
      </c>
      <c r="G20" t="s">
        <v>139</v>
      </c>
    </row>
    <row r="21" spans="1:7" x14ac:dyDescent="0.25">
      <c r="A21">
        <v>301</v>
      </c>
      <c r="B21">
        <v>881</v>
      </c>
      <c r="C21" t="s">
        <v>315</v>
      </c>
      <c r="D21" t="s">
        <v>86</v>
      </c>
      <c r="G21" t="s">
        <v>85</v>
      </c>
    </row>
    <row r="22" spans="1:7" x14ac:dyDescent="0.25">
      <c r="A22">
        <v>311</v>
      </c>
      <c r="B22">
        <v>882</v>
      </c>
      <c r="C22" t="s">
        <v>11</v>
      </c>
      <c r="D22" t="s">
        <v>3767</v>
      </c>
      <c r="G22" t="s">
        <v>341</v>
      </c>
    </row>
    <row r="23" spans="1:7" x14ac:dyDescent="0.25">
      <c r="A23">
        <v>321</v>
      </c>
      <c r="B23">
        <v>911</v>
      </c>
      <c r="C23" t="s">
        <v>357</v>
      </c>
      <c r="D23" t="s">
        <v>342</v>
      </c>
      <c r="G23" t="s">
        <v>341</v>
      </c>
    </row>
    <row r="24" spans="1:7" x14ac:dyDescent="0.25">
      <c r="A24">
        <v>322</v>
      </c>
      <c r="B24">
        <v>912</v>
      </c>
      <c r="C24" t="s">
        <v>11</v>
      </c>
      <c r="D24" t="s">
        <v>918</v>
      </c>
      <c r="E24" t="s">
        <v>3836</v>
      </c>
    </row>
    <row r="25" spans="1:7" x14ac:dyDescent="0.25">
      <c r="A25">
        <v>331</v>
      </c>
      <c r="B25">
        <v>913</v>
      </c>
      <c r="C25" t="s">
        <v>3757</v>
      </c>
      <c r="D25" t="s">
        <v>106</v>
      </c>
      <c r="G25" t="s">
        <v>105</v>
      </c>
    </row>
    <row r="26" spans="1:7" x14ac:dyDescent="0.25">
      <c r="A26">
        <v>341</v>
      </c>
      <c r="B26">
        <v>914</v>
      </c>
      <c r="C26" t="s">
        <v>104</v>
      </c>
      <c r="D26" t="s">
        <v>387</v>
      </c>
      <c r="G26" t="s">
        <v>105</v>
      </c>
    </row>
    <row r="27" spans="1:7" x14ac:dyDescent="0.25">
      <c r="A27">
        <v>342</v>
      </c>
      <c r="B27">
        <v>915</v>
      </c>
      <c r="C27" t="s">
        <v>15</v>
      </c>
      <c r="D27" t="s">
        <v>15</v>
      </c>
      <c r="E27" t="s">
        <v>3836</v>
      </c>
    </row>
    <row r="28" spans="1:7" x14ac:dyDescent="0.25">
      <c r="A28">
        <v>351</v>
      </c>
      <c r="B28">
        <v>922</v>
      </c>
      <c r="C28" t="s">
        <v>104</v>
      </c>
      <c r="D28" t="s">
        <v>395</v>
      </c>
      <c r="G28" t="s">
        <v>103</v>
      </c>
    </row>
    <row r="29" spans="1:7" x14ac:dyDescent="0.25">
      <c r="A29">
        <v>361</v>
      </c>
      <c r="B29">
        <v>931</v>
      </c>
      <c r="C29" t="s">
        <v>407</v>
      </c>
      <c r="D29" t="s">
        <v>144</v>
      </c>
      <c r="F29" t="s">
        <v>27</v>
      </c>
      <c r="G29" t="s">
        <v>139</v>
      </c>
    </row>
    <row r="30" spans="1:7" x14ac:dyDescent="0.25">
      <c r="A30">
        <v>362</v>
      </c>
      <c r="B30">
        <v>932</v>
      </c>
      <c r="C30" t="s">
        <v>3360</v>
      </c>
      <c r="D30" t="s">
        <v>143</v>
      </c>
      <c r="F30" t="s">
        <v>27</v>
      </c>
      <c r="G30" t="s">
        <v>139</v>
      </c>
    </row>
    <row r="31" spans="1:7" x14ac:dyDescent="0.25">
      <c r="A31">
        <v>371</v>
      </c>
      <c r="B31">
        <v>933</v>
      </c>
      <c r="C31" t="s">
        <v>13</v>
      </c>
      <c r="D31" t="s">
        <v>433</v>
      </c>
      <c r="G31" t="s">
        <v>56</v>
      </c>
    </row>
    <row r="32" spans="1:7" x14ac:dyDescent="0.25">
      <c r="A32">
        <v>422</v>
      </c>
      <c r="B32">
        <v>1002</v>
      </c>
      <c r="C32" t="s">
        <v>39</v>
      </c>
      <c r="D32" t="s">
        <v>445</v>
      </c>
      <c r="E32" t="s">
        <v>3836</v>
      </c>
    </row>
    <row r="33" spans="1:11" x14ac:dyDescent="0.25">
      <c r="A33">
        <v>441</v>
      </c>
      <c r="B33">
        <v>1011</v>
      </c>
      <c r="C33" t="s">
        <v>465</v>
      </c>
      <c r="D33" t="s">
        <v>112</v>
      </c>
      <c r="G33" t="s">
        <v>111</v>
      </c>
      <c r="H33" t="s">
        <v>7</v>
      </c>
      <c r="I33" t="s">
        <v>110</v>
      </c>
    </row>
    <row r="34" spans="1:11" x14ac:dyDescent="0.25">
      <c r="A34">
        <v>451</v>
      </c>
      <c r="B34">
        <v>1012</v>
      </c>
      <c r="C34" t="s">
        <v>23</v>
      </c>
      <c r="D34" t="s">
        <v>94</v>
      </c>
      <c r="G34" t="s">
        <v>90</v>
      </c>
      <c r="K34">
        <v>21</v>
      </c>
    </row>
    <row r="35" spans="1:11" x14ac:dyDescent="0.25">
      <c r="A35">
        <v>461</v>
      </c>
      <c r="B35">
        <v>1021</v>
      </c>
      <c r="C35" t="s">
        <v>465</v>
      </c>
      <c r="D35" t="s">
        <v>94</v>
      </c>
      <c r="G35" t="s">
        <v>90</v>
      </c>
      <c r="K35">
        <v>23</v>
      </c>
    </row>
    <row r="36" spans="1:11" x14ac:dyDescent="0.25">
      <c r="A36">
        <v>471</v>
      </c>
      <c r="B36">
        <v>1022</v>
      </c>
      <c r="C36" t="s">
        <v>504</v>
      </c>
      <c r="D36" t="s">
        <v>93</v>
      </c>
      <c r="G36" t="s">
        <v>90</v>
      </c>
      <c r="K36">
        <v>26</v>
      </c>
    </row>
    <row r="37" spans="1:11" x14ac:dyDescent="0.25">
      <c r="A37">
        <v>481</v>
      </c>
      <c r="B37">
        <v>1031</v>
      </c>
      <c r="C37" t="s">
        <v>39</v>
      </c>
      <c r="D37" t="s">
        <v>3766</v>
      </c>
      <c r="G37" t="s">
        <v>90</v>
      </c>
    </row>
    <row r="38" spans="1:11" x14ac:dyDescent="0.25">
      <c r="A38">
        <v>482</v>
      </c>
      <c r="B38">
        <v>1032</v>
      </c>
      <c r="C38" t="s">
        <v>37</v>
      </c>
      <c r="D38" t="s">
        <v>59</v>
      </c>
      <c r="G38" t="s">
        <v>90</v>
      </c>
      <c r="H38" t="s">
        <v>41</v>
      </c>
      <c r="I38" t="s">
        <v>92</v>
      </c>
    </row>
    <row r="39" spans="1:11" x14ac:dyDescent="0.25">
      <c r="A39">
        <v>491</v>
      </c>
      <c r="B39">
        <v>1033</v>
      </c>
      <c r="C39" t="s">
        <v>91</v>
      </c>
      <c r="D39" t="s">
        <v>59</v>
      </c>
      <c r="G39" t="s">
        <v>58</v>
      </c>
      <c r="K39">
        <v>27</v>
      </c>
    </row>
    <row r="40" spans="1:11" x14ac:dyDescent="0.25">
      <c r="A40">
        <v>501</v>
      </c>
      <c r="B40">
        <v>1041</v>
      </c>
      <c r="C40" t="s">
        <v>13</v>
      </c>
      <c r="D40" t="s">
        <v>59</v>
      </c>
      <c r="G40" t="s">
        <v>58</v>
      </c>
      <c r="H40" t="s">
        <v>7</v>
      </c>
      <c r="I40" t="s">
        <v>57</v>
      </c>
      <c r="K40">
        <v>27</v>
      </c>
    </row>
    <row r="41" spans="1:11" x14ac:dyDescent="0.25">
      <c r="A41">
        <v>511</v>
      </c>
      <c r="B41">
        <v>1034</v>
      </c>
      <c r="C41" t="s">
        <v>465</v>
      </c>
      <c r="D41" t="s">
        <v>3774</v>
      </c>
      <c r="G41" t="s">
        <v>114</v>
      </c>
      <c r="K41">
        <v>28</v>
      </c>
    </row>
    <row r="42" spans="1:11" x14ac:dyDescent="0.25">
      <c r="A42">
        <v>521</v>
      </c>
      <c r="B42">
        <v>1051</v>
      </c>
      <c r="C42" t="s">
        <v>67</v>
      </c>
      <c r="D42" t="s">
        <v>558</v>
      </c>
      <c r="G42" t="s">
        <v>68</v>
      </c>
      <c r="H42" t="s">
        <v>7</v>
      </c>
      <c r="I42" t="s">
        <v>76</v>
      </c>
      <c r="K42">
        <v>29</v>
      </c>
    </row>
    <row r="43" spans="1:11" x14ac:dyDescent="0.25">
      <c r="A43">
        <v>531</v>
      </c>
      <c r="B43">
        <v>1052</v>
      </c>
      <c r="C43" t="s">
        <v>465</v>
      </c>
      <c r="D43" t="s">
        <v>568</v>
      </c>
      <c r="G43" t="s">
        <v>68</v>
      </c>
      <c r="K43">
        <v>30</v>
      </c>
    </row>
    <row r="44" spans="1:11" x14ac:dyDescent="0.25">
      <c r="A44">
        <v>541</v>
      </c>
      <c r="B44">
        <v>1061</v>
      </c>
      <c r="C44" t="s">
        <v>3744</v>
      </c>
      <c r="D44" t="s">
        <v>787</v>
      </c>
      <c r="G44" t="s">
        <v>68</v>
      </c>
      <c r="K44">
        <v>30</v>
      </c>
    </row>
    <row r="45" spans="1:11" x14ac:dyDescent="0.25">
      <c r="A45">
        <v>551</v>
      </c>
      <c r="B45">
        <v>1072</v>
      </c>
      <c r="C45" t="s">
        <v>23</v>
      </c>
      <c r="D45" t="s">
        <v>787</v>
      </c>
      <c r="G45" t="s">
        <v>68</v>
      </c>
      <c r="K45">
        <v>31</v>
      </c>
    </row>
    <row r="46" spans="1:11" x14ac:dyDescent="0.25">
      <c r="A46">
        <v>552</v>
      </c>
      <c r="B46">
        <v>1073</v>
      </c>
      <c r="C46" t="s">
        <v>465</v>
      </c>
      <c r="D46" t="s">
        <v>787</v>
      </c>
      <c r="G46" t="s">
        <v>68</v>
      </c>
      <c r="K46">
        <v>32</v>
      </c>
    </row>
    <row r="47" spans="1:11" x14ac:dyDescent="0.25">
      <c r="A47">
        <v>561</v>
      </c>
      <c r="B47">
        <v>1062</v>
      </c>
      <c r="C47" t="s">
        <v>13</v>
      </c>
      <c r="D47" t="s">
        <v>75</v>
      </c>
      <c r="G47" t="s">
        <v>68</v>
      </c>
      <c r="K47">
        <v>32</v>
      </c>
    </row>
    <row r="48" spans="1:11" x14ac:dyDescent="0.25">
      <c r="A48">
        <v>571</v>
      </c>
      <c r="B48">
        <v>1063</v>
      </c>
      <c r="C48" t="s">
        <v>593</v>
      </c>
      <c r="D48" t="s">
        <v>75</v>
      </c>
      <c r="G48" t="s">
        <v>68</v>
      </c>
      <c r="K48">
        <v>33</v>
      </c>
    </row>
    <row r="49" spans="1:11" x14ac:dyDescent="0.25">
      <c r="A49">
        <v>581</v>
      </c>
      <c r="B49">
        <v>1071</v>
      </c>
      <c r="C49" t="s">
        <v>67</v>
      </c>
      <c r="D49" t="s">
        <v>66</v>
      </c>
      <c r="G49" t="s">
        <v>61</v>
      </c>
      <c r="K49">
        <v>34</v>
      </c>
    </row>
    <row r="50" spans="1:11" x14ac:dyDescent="0.25">
      <c r="A50">
        <v>601</v>
      </c>
      <c r="B50">
        <v>1081</v>
      </c>
      <c r="C50" t="s">
        <v>670</v>
      </c>
      <c r="D50" t="s">
        <v>96</v>
      </c>
      <c r="G50" t="s">
        <v>95</v>
      </c>
      <c r="K50">
        <v>36</v>
      </c>
    </row>
    <row r="51" spans="1:11" x14ac:dyDescent="0.25">
      <c r="A51">
        <v>611</v>
      </c>
      <c r="B51">
        <v>1082</v>
      </c>
      <c r="C51" t="s">
        <v>13</v>
      </c>
      <c r="D51" t="s">
        <v>96</v>
      </c>
      <c r="G51" t="s">
        <v>95</v>
      </c>
      <c r="K51">
        <v>36</v>
      </c>
    </row>
    <row r="52" spans="1:11" x14ac:dyDescent="0.25">
      <c r="A52">
        <v>621</v>
      </c>
      <c r="B52">
        <v>1091</v>
      </c>
      <c r="C52" t="s">
        <v>98</v>
      </c>
      <c r="D52" t="s">
        <v>96</v>
      </c>
      <c r="G52" t="s">
        <v>95</v>
      </c>
      <c r="K52">
        <v>37</v>
      </c>
    </row>
    <row r="53" spans="1:11" x14ac:dyDescent="0.25">
      <c r="A53">
        <v>651</v>
      </c>
      <c r="B53">
        <v>1092</v>
      </c>
      <c r="C53" t="s">
        <v>1572</v>
      </c>
      <c r="D53" t="s">
        <v>96</v>
      </c>
      <c r="G53" t="s">
        <v>95</v>
      </c>
      <c r="H53" t="s">
        <v>7</v>
      </c>
      <c r="I53" t="s">
        <v>97</v>
      </c>
      <c r="K53">
        <v>38</v>
      </c>
    </row>
    <row r="54" spans="1:11" x14ac:dyDescent="0.25">
      <c r="A54">
        <v>661</v>
      </c>
      <c r="B54">
        <v>1101</v>
      </c>
      <c r="C54" t="s">
        <v>39</v>
      </c>
      <c r="D54" t="s">
        <v>96</v>
      </c>
      <c r="G54" t="s">
        <v>95</v>
      </c>
      <c r="K54">
        <v>39</v>
      </c>
    </row>
    <row r="55" spans="1:11" x14ac:dyDescent="0.25">
      <c r="A55">
        <v>671</v>
      </c>
      <c r="B55">
        <v>1102</v>
      </c>
      <c r="C55" t="s">
        <v>39</v>
      </c>
      <c r="D55" t="s">
        <v>784</v>
      </c>
      <c r="G55" t="s">
        <v>68</v>
      </c>
      <c r="K55">
        <v>39</v>
      </c>
    </row>
    <row r="56" spans="1:11" x14ac:dyDescent="0.25">
      <c r="A56">
        <v>681</v>
      </c>
      <c r="B56">
        <v>1111</v>
      </c>
      <c r="C56" t="s">
        <v>13</v>
      </c>
      <c r="D56" t="s">
        <v>784</v>
      </c>
      <c r="G56" t="s">
        <v>68</v>
      </c>
      <c r="K56">
        <v>40</v>
      </c>
    </row>
    <row r="57" spans="1:11" x14ac:dyDescent="0.25">
      <c r="A57">
        <v>691</v>
      </c>
      <c r="B57">
        <v>1112</v>
      </c>
      <c r="C57" t="s">
        <v>74</v>
      </c>
      <c r="D57" t="s">
        <v>73</v>
      </c>
      <c r="G57" t="s">
        <v>68</v>
      </c>
      <c r="H57" t="s">
        <v>10</v>
      </c>
      <c r="I57" t="s">
        <v>72</v>
      </c>
      <c r="J57" t="s">
        <v>71</v>
      </c>
      <c r="K57">
        <v>41</v>
      </c>
    </row>
    <row r="58" spans="1:11" x14ac:dyDescent="0.25">
      <c r="A58">
        <v>701</v>
      </c>
      <c r="B58">
        <v>1121</v>
      </c>
      <c r="C58" t="s">
        <v>769</v>
      </c>
      <c r="D58" t="s">
        <v>73</v>
      </c>
      <c r="G58" t="s">
        <v>68</v>
      </c>
      <c r="H58" t="s">
        <v>10</v>
      </c>
      <c r="I58" t="s">
        <v>72</v>
      </c>
      <c r="J58" t="s">
        <v>71</v>
      </c>
      <c r="K58">
        <v>42</v>
      </c>
    </row>
    <row r="59" spans="1:11" x14ac:dyDescent="0.25">
      <c r="A59">
        <v>711</v>
      </c>
      <c r="B59">
        <v>1122</v>
      </c>
      <c r="C59" t="s">
        <v>770</v>
      </c>
      <c r="D59" t="s">
        <v>73</v>
      </c>
      <c r="G59" t="s">
        <v>68</v>
      </c>
      <c r="H59" t="s">
        <v>10</v>
      </c>
      <c r="I59" t="s">
        <v>72</v>
      </c>
      <c r="J59" t="s">
        <v>71</v>
      </c>
      <c r="K59">
        <v>42</v>
      </c>
    </row>
    <row r="60" spans="1:11" x14ac:dyDescent="0.25">
      <c r="A60">
        <v>721</v>
      </c>
      <c r="B60">
        <v>1131</v>
      </c>
      <c r="C60" t="s">
        <v>13</v>
      </c>
      <c r="D60" t="s">
        <v>785</v>
      </c>
      <c r="G60" t="s">
        <v>125</v>
      </c>
    </row>
    <row r="61" spans="1:11" x14ac:dyDescent="0.25">
      <c r="A61">
        <v>731</v>
      </c>
      <c r="B61">
        <v>1132</v>
      </c>
      <c r="C61" t="s">
        <v>13</v>
      </c>
      <c r="D61" t="s">
        <v>786</v>
      </c>
      <c r="G61" t="s">
        <v>125</v>
      </c>
    </row>
    <row r="62" spans="1:11" x14ac:dyDescent="0.25">
      <c r="A62">
        <v>741</v>
      </c>
      <c r="B62">
        <v>1141</v>
      </c>
      <c r="C62" t="s">
        <v>19</v>
      </c>
      <c r="D62" t="s">
        <v>126</v>
      </c>
      <c r="G62" t="s">
        <v>125</v>
      </c>
      <c r="H62" t="s">
        <v>7</v>
      </c>
      <c r="I62" t="s">
        <v>128</v>
      </c>
    </row>
    <row r="63" spans="1:11" x14ac:dyDescent="0.25">
      <c r="A63">
        <v>743</v>
      </c>
      <c r="B63">
        <v>1142</v>
      </c>
      <c r="C63" t="s">
        <v>127</v>
      </c>
      <c r="D63" t="s">
        <v>126</v>
      </c>
      <c r="G63" t="s">
        <v>125</v>
      </c>
    </row>
    <row r="64" spans="1:11" x14ac:dyDescent="0.25">
      <c r="A64">
        <v>751</v>
      </c>
      <c r="B64">
        <v>1143</v>
      </c>
      <c r="C64" t="s">
        <v>11</v>
      </c>
      <c r="D64" t="s">
        <v>89</v>
      </c>
      <c r="G64" t="s">
        <v>88</v>
      </c>
      <c r="H64" t="s">
        <v>7</v>
      </c>
      <c r="I64" t="s">
        <v>87</v>
      </c>
    </row>
    <row r="65" spans="1:11" x14ac:dyDescent="0.25">
      <c r="A65">
        <v>761</v>
      </c>
      <c r="B65">
        <v>1151</v>
      </c>
      <c r="C65" t="s">
        <v>135</v>
      </c>
      <c r="D65" t="s">
        <v>880</v>
      </c>
      <c r="G65" t="s">
        <v>113</v>
      </c>
      <c r="K65">
        <v>42</v>
      </c>
    </row>
    <row r="66" spans="1:11" x14ac:dyDescent="0.25">
      <c r="A66">
        <v>771</v>
      </c>
      <c r="B66">
        <v>1152</v>
      </c>
      <c r="C66" t="s">
        <v>104</v>
      </c>
      <c r="D66" t="s">
        <v>191</v>
      </c>
      <c r="G66" t="s">
        <v>113</v>
      </c>
      <c r="K66">
        <v>43</v>
      </c>
    </row>
    <row r="67" spans="1:11" x14ac:dyDescent="0.25">
      <c r="A67">
        <v>781</v>
      </c>
      <c r="B67">
        <v>1161</v>
      </c>
      <c r="C67" t="s">
        <v>13</v>
      </c>
      <c r="D67" t="s">
        <v>3776</v>
      </c>
      <c r="G67" t="s">
        <v>113</v>
      </c>
      <c r="K67">
        <v>44</v>
      </c>
    </row>
    <row r="68" spans="1:11" x14ac:dyDescent="0.25">
      <c r="A68">
        <v>782</v>
      </c>
      <c r="B68">
        <v>1162</v>
      </c>
      <c r="C68" t="s">
        <v>11</v>
      </c>
      <c r="D68" t="s">
        <v>880</v>
      </c>
      <c r="G68" t="s">
        <v>113</v>
      </c>
    </row>
    <row r="69" spans="1:11" x14ac:dyDescent="0.25">
      <c r="A69">
        <v>791</v>
      </c>
      <c r="B69">
        <v>1163</v>
      </c>
      <c r="C69" t="s">
        <v>1850</v>
      </c>
      <c r="D69" t="s">
        <v>109</v>
      </c>
      <c r="G69" t="s">
        <v>108</v>
      </c>
    </row>
    <row r="70" spans="1:11" x14ac:dyDescent="0.25">
      <c r="A70">
        <v>792</v>
      </c>
      <c r="B70">
        <v>1171</v>
      </c>
      <c r="C70" t="s">
        <v>465</v>
      </c>
      <c r="D70" t="s">
        <v>117</v>
      </c>
      <c r="G70" t="s">
        <v>116</v>
      </c>
    </row>
    <row r="71" spans="1:11" x14ac:dyDescent="0.25">
      <c r="A71">
        <v>801</v>
      </c>
      <c r="B71">
        <v>1172</v>
      </c>
      <c r="C71" t="s">
        <v>13</v>
      </c>
      <c r="D71" t="s">
        <v>3803</v>
      </c>
      <c r="G71" t="s">
        <v>60</v>
      </c>
    </row>
    <row r="72" spans="1:11" x14ac:dyDescent="0.25">
      <c r="A72">
        <v>811</v>
      </c>
      <c r="B72">
        <v>1181</v>
      </c>
      <c r="C72" t="s">
        <v>70</v>
      </c>
      <c r="D72" t="s">
        <v>69</v>
      </c>
      <c r="G72" t="s">
        <v>68</v>
      </c>
      <c r="K72">
        <v>45</v>
      </c>
    </row>
    <row r="73" spans="1:11" x14ac:dyDescent="0.25">
      <c r="A73">
        <v>821</v>
      </c>
      <c r="B73">
        <v>1182</v>
      </c>
      <c r="C73" t="s">
        <v>465</v>
      </c>
      <c r="D73" t="s">
        <v>997</v>
      </c>
      <c r="G73" t="s">
        <v>118</v>
      </c>
    </row>
    <row r="74" spans="1:11" x14ac:dyDescent="0.25">
      <c r="A74">
        <v>822</v>
      </c>
      <c r="B74">
        <v>1183</v>
      </c>
      <c r="C74" t="s">
        <v>119</v>
      </c>
      <c r="D74" t="s">
        <v>3797</v>
      </c>
      <c r="G74" t="s">
        <v>118</v>
      </c>
    </row>
    <row r="75" spans="1:11" x14ac:dyDescent="0.25">
      <c r="A75">
        <v>831</v>
      </c>
      <c r="B75">
        <v>1191</v>
      </c>
      <c r="C75" t="s">
        <v>465</v>
      </c>
      <c r="D75" t="s">
        <v>3773</v>
      </c>
      <c r="G75" t="s">
        <v>118</v>
      </c>
    </row>
    <row r="76" spans="1:11" x14ac:dyDescent="0.25">
      <c r="A76">
        <v>841</v>
      </c>
      <c r="B76">
        <v>1192</v>
      </c>
      <c r="C76" t="s">
        <v>138</v>
      </c>
      <c r="D76" t="s">
        <v>137</v>
      </c>
      <c r="F76" t="s">
        <v>27</v>
      </c>
      <c r="G76" t="s">
        <v>129</v>
      </c>
    </row>
    <row r="77" spans="1:11" x14ac:dyDescent="0.25">
      <c r="A77">
        <v>842</v>
      </c>
      <c r="B77">
        <v>1193</v>
      </c>
      <c r="C77" t="s">
        <v>50</v>
      </c>
      <c r="D77" t="s">
        <v>137</v>
      </c>
      <c r="F77" t="s">
        <v>27</v>
      </c>
      <c r="G77" t="s">
        <v>129</v>
      </c>
    </row>
    <row r="78" spans="1:11" x14ac:dyDescent="0.25">
      <c r="A78">
        <v>843</v>
      </c>
      <c r="B78">
        <v>1194</v>
      </c>
      <c r="C78" t="s">
        <v>465</v>
      </c>
      <c r="D78" t="s">
        <v>137</v>
      </c>
      <c r="F78" t="s">
        <v>27</v>
      </c>
      <c r="G78" t="s">
        <v>129</v>
      </c>
    </row>
    <row r="79" spans="1:11" x14ac:dyDescent="0.25">
      <c r="A79">
        <v>851</v>
      </c>
      <c r="B79">
        <v>1201</v>
      </c>
      <c r="C79" t="s">
        <v>67</v>
      </c>
      <c r="D79" t="s">
        <v>137</v>
      </c>
      <c r="F79" t="s">
        <v>27</v>
      </c>
      <c r="G79" t="s">
        <v>129</v>
      </c>
    </row>
    <row r="80" spans="1:11" x14ac:dyDescent="0.25">
      <c r="A80">
        <v>852</v>
      </c>
      <c r="B80">
        <v>1202</v>
      </c>
      <c r="C80" t="s">
        <v>11</v>
      </c>
      <c r="D80" t="s">
        <v>137</v>
      </c>
      <c r="F80" t="s">
        <v>27</v>
      </c>
      <c r="G80" t="s">
        <v>129</v>
      </c>
    </row>
    <row r="81" spans="1:11" x14ac:dyDescent="0.25">
      <c r="A81">
        <v>861</v>
      </c>
      <c r="B81">
        <v>1203</v>
      </c>
      <c r="C81" t="s">
        <v>19</v>
      </c>
      <c r="D81" t="s">
        <v>3793</v>
      </c>
      <c r="F81" t="s">
        <v>27</v>
      </c>
      <c r="G81" t="s">
        <v>129</v>
      </c>
    </row>
    <row r="82" spans="1:11" x14ac:dyDescent="0.25">
      <c r="A82">
        <v>862</v>
      </c>
      <c r="B82">
        <v>1204</v>
      </c>
      <c r="C82" t="s">
        <v>11</v>
      </c>
      <c r="D82" t="s">
        <v>3773</v>
      </c>
      <c r="F82" t="s">
        <v>27</v>
      </c>
      <c r="G82" t="s">
        <v>129</v>
      </c>
    </row>
    <row r="83" spans="1:11" x14ac:dyDescent="0.25">
      <c r="A83">
        <v>863</v>
      </c>
      <c r="B83">
        <v>1205</v>
      </c>
      <c r="C83" t="s">
        <v>136</v>
      </c>
      <c r="D83" t="s">
        <v>1075</v>
      </c>
      <c r="F83" t="s">
        <v>27</v>
      </c>
      <c r="G83" t="s">
        <v>129</v>
      </c>
    </row>
    <row r="84" spans="1:11" x14ac:dyDescent="0.25">
      <c r="A84">
        <v>871</v>
      </c>
      <c r="B84">
        <v>1211</v>
      </c>
      <c r="C84" t="s">
        <v>465</v>
      </c>
      <c r="D84" t="s">
        <v>1083</v>
      </c>
      <c r="F84" t="s">
        <v>27</v>
      </c>
      <c r="G84" t="s">
        <v>129</v>
      </c>
    </row>
    <row r="85" spans="1:11" x14ac:dyDescent="0.25">
      <c r="A85">
        <v>872</v>
      </c>
      <c r="B85">
        <v>1212</v>
      </c>
      <c r="C85" t="s">
        <v>135</v>
      </c>
      <c r="D85" t="s">
        <v>134</v>
      </c>
      <c r="F85" t="s">
        <v>27</v>
      </c>
      <c r="G85" t="s">
        <v>129</v>
      </c>
      <c r="H85" t="s">
        <v>7</v>
      </c>
      <c r="I85" t="s">
        <v>133</v>
      </c>
    </row>
    <row r="86" spans="1:11" x14ac:dyDescent="0.25">
      <c r="A86">
        <v>873</v>
      </c>
      <c r="B86">
        <v>1213</v>
      </c>
      <c r="C86" t="s">
        <v>11</v>
      </c>
      <c r="D86" t="s">
        <v>132</v>
      </c>
      <c r="F86" t="s">
        <v>27</v>
      </c>
      <c r="G86" t="s">
        <v>129</v>
      </c>
      <c r="H86" t="s">
        <v>7</v>
      </c>
      <c r="I86" t="s">
        <v>131</v>
      </c>
    </row>
    <row r="87" spans="1:11" x14ac:dyDescent="0.25">
      <c r="A87">
        <v>881</v>
      </c>
      <c r="B87">
        <v>1214</v>
      </c>
      <c r="C87" t="s">
        <v>3750</v>
      </c>
      <c r="D87" t="s">
        <v>69</v>
      </c>
      <c r="G87" t="s">
        <v>68</v>
      </c>
      <c r="K87">
        <v>45</v>
      </c>
    </row>
    <row r="88" spans="1:11" x14ac:dyDescent="0.25">
      <c r="A88">
        <v>883</v>
      </c>
      <c r="B88">
        <v>1215</v>
      </c>
      <c r="C88" t="s">
        <v>465</v>
      </c>
      <c r="D88" t="s">
        <v>130</v>
      </c>
      <c r="F88" t="s">
        <v>27</v>
      </c>
      <c r="G88" t="s">
        <v>129</v>
      </c>
    </row>
    <row r="89" spans="1:11" x14ac:dyDescent="0.25">
      <c r="A89">
        <v>884</v>
      </c>
      <c r="B89">
        <v>1216</v>
      </c>
      <c r="C89" t="s">
        <v>465</v>
      </c>
      <c r="D89" t="s">
        <v>75</v>
      </c>
      <c r="F89" t="s">
        <v>27</v>
      </c>
      <c r="G89" t="s">
        <v>129</v>
      </c>
    </row>
    <row r="90" spans="1:11" x14ac:dyDescent="0.25">
      <c r="A90">
        <v>891</v>
      </c>
      <c r="B90">
        <v>1221</v>
      </c>
      <c r="C90" t="s">
        <v>465</v>
      </c>
      <c r="D90" t="s">
        <v>169</v>
      </c>
      <c r="G90" t="s">
        <v>168</v>
      </c>
      <c r="H90" t="s">
        <v>7</v>
      </c>
      <c r="I90" t="s">
        <v>167</v>
      </c>
      <c r="J90" s="38"/>
    </row>
    <row r="91" spans="1:11" x14ac:dyDescent="0.25">
      <c r="A91">
        <v>911</v>
      </c>
      <c r="B91">
        <v>1231</v>
      </c>
      <c r="C91" t="s">
        <v>465</v>
      </c>
      <c r="D91" t="s">
        <v>46</v>
      </c>
      <c r="F91" t="s">
        <v>27</v>
      </c>
      <c r="G91" t="s">
        <v>115</v>
      </c>
    </row>
    <row r="92" spans="1:11" x14ac:dyDescent="0.25">
      <c r="A92">
        <v>1031</v>
      </c>
      <c r="B92">
        <v>1291</v>
      </c>
      <c r="C92" t="s">
        <v>465</v>
      </c>
      <c r="D92" t="s">
        <v>82</v>
      </c>
      <c r="G92" t="s">
        <v>78</v>
      </c>
      <c r="H92" t="s">
        <v>7</v>
      </c>
      <c r="I92" t="s">
        <v>84</v>
      </c>
    </row>
    <row r="93" spans="1:11" x14ac:dyDescent="0.25">
      <c r="A93">
        <v>1051</v>
      </c>
      <c r="B93">
        <v>1301</v>
      </c>
      <c r="C93" t="s">
        <v>465</v>
      </c>
      <c r="D93" t="s">
        <v>82</v>
      </c>
      <c r="G93" t="s">
        <v>78</v>
      </c>
      <c r="H93" t="s">
        <v>7</v>
      </c>
      <c r="I93" t="s">
        <v>83</v>
      </c>
    </row>
    <row r="94" spans="1:11" x14ac:dyDescent="0.25">
      <c r="A94">
        <v>1052</v>
      </c>
      <c r="B94">
        <v>1302</v>
      </c>
      <c r="C94" t="s">
        <v>465</v>
      </c>
      <c r="D94" t="s">
        <v>1347</v>
      </c>
      <c r="G94" t="s">
        <v>78</v>
      </c>
    </row>
    <row r="95" spans="1:11" x14ac:dyDescent="0.25">
      <c r="A95">
        <v>1061</v>
      </c>
      <c r="B95">
        <v>1303</v>
      </c>
      <c r="C95" t="s">
        <v>23</v>
      </c>
      <c r="D95" t="s">
        <v>82</v>
      </c>
      <c r="G95" t="s">
        <v>78</v>
      </c>
    </row>
    <row r="96" spans="1:11" x14ac:dyDescent="0.25">
      <c r="A96">
        <v>1062</v>
      </c>
      <c r="B96">
        <v>1304</v>
      </c>
      <c r="C96" t="s">
        <v>13</v>
      </c>
      <c r="D96" t="s">
        <v>1361</v>
      </c>
      <c r="G96" t="s">
        <v>78</v>
      </c>
      <c r="H96" t="s">
        <v>7</v>
      </c>
      <c r="I96" t="s">
        <v>3847</v>
      </c>
    </row>
    <row r="97" spans="1:9" x14ac:dyDescent="0.25">
      <c r="A97">
        <v>1071</v>
      </c>
      <c r="B97">
        <v>1311</v>
      </c>
      <c r="C97" t="s">
        <v>1377</v>
      </c>
      <c r="D97" t="s">
        <v>82</v>
      </c>
      <c r="G97" t="s">
        <v>78</v>
      </c>
    </row>
    <row r="98" spans="1:9" x14ac:dyDescent="0.25">
      <c r="A98">
        <v>1081</v>
      </c>
      <c r="B98">
        <v>1312</v>
      </c>
      <c r="C98" t="s">
        <v>465</v>
      </c>
      <c r="D98" t="s">
        <v>82</v>
      </c>
      <c r="G98" t="s">
        <v>78</v>
      </c>
      <c r="H98" t="s">
        <v>7</v>
      </c>
      <c r="I98" t="s">
        <v>81</v>
      </c>
    </row>
    <row r="99" spans="1:9" x14ac:dyDescent="0.25">
      <c r="A99">
        <v>1091</v>
      </c>
      <c r="B99">
        <v>1321</v>
      </c>
      <c r="C99" t="s">
        <v>13</v>
      </c>
      <c r="D99" t="s">
        <v>82</v>
      </c>
      <c r="G99" t="s">
        <v>78</v>
      </c>
      <c r="H99" t="s">
        <v>7</v>
      </c>
      <c r="I99" t="s">
        <v>81</v>
      </c>
    </row>
    <row r="100" spans="1:9" x14ac:dyDescent="0.25">
      <c r="A100">
        <v>1101</v>
      </c>
      <c r="B100">
        <v>1322</v>
      </c>
      <c r="C100" t="s">
        <v>19</v>
      </c>
      <c r="D100" t="s">
        <v>82</v>
      </c>
      <c r="G100" t="s">
        <v>78</v>
      </c>
      <c r="H100" t="s">
        <v>7</v>
      </c>
      <c r="I100" t="s">
        <v>80</v>
      </c>
    </row>
    <row r="101" spans="1:9" x14ac:dyDescent="0.25">
      <c r="A101">
        <v>1102</v>
      </c>
      <c r="B101">
        <v>1323</v>
      </c>
      <c r="C101" t="s">
        <v>11</v>
      </c>
      <c r="D101" t="s">
        <v>3800</v>
      </c>
      <c r="E101" t="s">
        <v>79</v>
      </c>
      <c r="G101" t="s">
        <v>78</v>
      </c>
    </row>
    <row r="102" spans="1:9" x14ac:dyDescent="0.25">
      <c r="A102">
        <v>1111</v>
      </c>
      <c r="B102">
        <v>1331</v>
      </c>
      <c r="C102" t="s">
        <v>1407</v>
      </c>
      <c r="D102" t="s">
        <v>1408</v>
      </c>
      <c r="E102" t="s">
        <v>3836</v>
      </c>
      <c r="F102" t="s">
        <v>3841</v>
      </c>
    </row>
    <row r="103" spans="1:9" x14ac:dyDescent="0.25">
      <c r="A103">
        <v>1121</v>
      </c>
      <c r="B103">
        <v>1332</v>
      </c>
      <c r="C103" t="s">
        <v>1421</v>
      </c>
      <c r="D103" t="s">
        <v>1422</v>
      </c>
      <c r="G103" t="s">
        <v>99</v>
      </c>
    </row>
    <row r="104" spans="1:9" x14ac:dyDescent="0.25">
      <c r="A104">
        <v>1141</v>
      </c>
      <c r="B104">
        <v>1343</v>
      </c>
      <c r="C104" t="s">
        <v>138</v>
      </c>
      <c r="D104" t="s">
        <v>3792</v>
      </c>
      <c r="E104" t="s">
        <v>3836</v>
      </c>
      <c r="F104" t="s">
        <v>3841</v>
      </c>
    </row>
    <row r="105" spans="1:9" x14ac:dyDescent="0.25">
      <c r="A105">
        <v>1142</v>
      </c>
      <c r="B105">
        <v>1342</v>
      </c>
      <c r="C105" t="s">
        <v>100</v>
      </c>
      <c r="D105" t="s">
        <v>3749</v>
      </c>
      <c r="G105" t="s">
        <v>99</v>
      </c>
    </row>
    <row r="106" spans="1:9" x14ac:dyDescent="0.25">
      <c r="A106">
        <v>1151</v>
      </c>
      <c r="B106">
        <v>1351</v>
      </c>
      <c r="C106" t="s">
        <v>1572</v>
      </c>
      <c r="D106" t="s">
        <v>1528</v>
      </c>
      <c r="G106" t="s">
        <v>122</v>
      </c>
      <c r="H106" t="s">
        <v>7</v>
      </c>
      <c r="I106" t="s">
        <v>123</v>
      </c>
    </row>
    <row r="107" spans="1:9" x14ac:dyDescent="0.25">
      <c r="A107">
        <v>1161</v>
      </c>
      <c r="B107">
        <v>1352</v>
      </c>
      <c r="C107" t="s">
        <v>1529</v>
      </c>
      <c r="D107" t="s">
        <v>1528</v>
      </c>
      <c r="G107" t="s">
        <v>122</v>
      </c>
      <c r="H107" t="s">
        <v>7</v>
      </c>
      <c r="I107" t="s">
        <v>121</v>
      </c>
    </row>
    <row r="108" spans="1:9" x14ac:dyDescent="0.25">
      <c r="A108">
        <v>1171</v>
      </c>
      <c r="B108">
        <v>1381</v>
      </c>
      <c r="C108" t="s">
        <v>465</v>
      </c>
      <c r="D108" t="s">
        <v>130</v>
      </c>
      <c r="F108" t="s">
        <v>1</v>
      </c>
      <c r="G108" t="s">
        <v>0</v>
      </c>
    </row>
    <row r="109" spans="1:9" x14ac:dyDescent="0.25">
      <c r="A109">
        <v>1172</v>
      </c>
      <c r="B109">
        <v>1382</v>
      </c>
      <c r="C109" t="s">
        <v>1572</v>
      </c>
      <c r="D109" t="s">
        <v>3</v>
      </c>
      <c r="F109" t="s">
        <v>1</v>
      </c>
      <c r="G109" t="s">
        <v>0</v>
      </c>
    </row>
    <row r="110" spans="1:9" x14ac:dyDescent="0.25">
      <c r="A110">
        <v>1181</v>
      </c>
      <c r="B110">
        <v>1383</v>
      </c>
      <c r="C110" t="s">
        <v>13</v>
      </c>
      <c r="D110" t="s">
        <v>1581</v>
      </c>
      <c r="E110" t="s">
        <v>3836</v>
      </c>
    </row>
    <row r="111" spans="1:9" x14ac:dyDescent="0.25">
      <c r="A111">
        <v>1182</v>
      </c>
      <c r="B111">
        <v>1384</v>
      </c>
      <c r="C111" t="s">
        <v>465</v>
      </c>
      <c r="D111" t="s">
        <v>2</v>
      </c>
      <c r="F111" t="s">
        <v>1</v>
      </c>
      <c r="G111" t="s">
        <v>0</v>
      </c>
    </row>
    <row r="112" spans="1:9" x14ac:dyDescent="0.25">
      <c r="A112">
        <v>1183</v>
      </c>
      <c r="B112">
        <v>1385</v>
      </c>
      <c r="C112" t="s">
        <v>465</v>
      </c>
      <c r="D112" t="s">
        <v>1596</v>
      </c>
      <c r="F112" t="s">
        <v>1</v>
      </c>
      <c r="G112" t="s">
        <v>0</v>
      </c>
    </row>
    <row r="113" spans="1:10" x14ac:dyDescent="0.25">
      <c r="A113">
        <v>1191</v>
      </c>
      <c r="B113">
        <v>1391</v>
      </c>
      <c r="C113" t="s">
        <v>465</v>
      </c>
      <c r="D113" t="s">
        <v>1602</v>
      </c>
      <c r="G113" t="s">
        <v>124</v>
      </c>
    </row>
    <row r="114" spans="1:10" x14ac:dyDescent="0.25">
      <c r="A114">
        <v>1271</v>
      </c>
      <c r="B114">
        <v>341</v>
      </c>
      <c r="C114" t="s">
        <v>50</v>
      </c>
      <c r="D114" t="s">
        <v>175</v>
      </c>
      <c r="G114" t="s">
        <v>170</v>
      </c>
    </row>
    <row r="115" spans="1:10" x14ac:dyDescent="0.25">
      <c r="A115">
        <v>1272</v>
      </c>
      <c r="B115">
        <v>342</v>
      </c>
      <c r="C115" t="s">
        <v>1646</v>
      </c>
      <c r="D115" t="s">
        <v>175</v>
      </c>
      <c r="G115" t="s">
        <v>170</v>
      </c>
    </row>
    <row r="116" spans="1:10" x14ac:dyDescent="0.25">
      <c r="A116">
        <v>1281</v>
      </c>
      <c r="B116">
        <v>343</v>
      </c>
      <c r="C116" t="s">
        <v>1572</v>
      </c>
      <c r="D116" t="s">
        <v>175</v>
      </c>
      <c r="G116" t="s">
        <v>170</v>
      </c>
    </row>
    <row r="117" spans="1:10" x14ac:dyDescent="0.25">
      <c r="A117">
        <v>1284</v>
      </c>
      <c r="B117">
        <v>345</v>
      </c>
      <c r="C117" t="s">
        <v>1667</v>
      </c>
      <c r="D117" t="s">
        <v>174</v>
      </c>
      <c r="G117" t="s">
        <v>170</v>
      </c>
      <c r="H117" t="s">
        <v>41</v>
      </c>
      <c r="I117" t="s">
        <v>173</v>
      </c>
      <c r="J117" t="s">
        <v>146</v>
      </c>
    </row>
    <row r="118" spans="1:10" x14ac:dyDescent="0.25">
      <c r="A118">
        <v>1291</v>
      </c>
      <c r="B118">
        <v>351</v>
      </c>
      <c r="C118" t="s">
        <v>13</v>
      </c>
      <c r="D118" t="s">
        <v>1687</v>
      </c>
      <c r="G118" t="s">
        <v>170</v>
      </c>
    </row>
    <row r="119" spans="1:10" x14ac:dyDescent="0.25">
      <c r="A119">
        <v>1292</v>
      </c>
      <c r="B119">
        <v>352</v>
      </c>
      <c r="C119" t="s">
        <v>107</v>
      </c>
      <c r="D119" t="s">
        <v>172</v>
      </c>
      <c r="G119" t="s">
        <v>170</v>
      </c>
      <c r="H119" t="s">
        <v>7</v>
      </c>
      <c r="I119" t="s">
        <v>171</v>
      </c>
    </row>
    <row r="120" spans="1:10" x14ac:dyDescent="0.25">
      <c r="A120">
        <v>1293</v>
      </c>
      <c r="B120">
        <v>353</v>
      </c>
      <c r="C120" t="s">
        <v>13</v>
      </c>
      <c r="D120" t="s">
        <v>3779</v>
      </c>
      <c r="G120" t="s">
        <v>170</v>
      </c>
    </row>
    <row r="121" spans="1:10" x14ac:dyDescent="0.25">
      <c r="A121">
        <v>1301</v>
      </c>
      <c r="B121">
        <v>354</v>
      </c>
      <c r="C121" t="s">
        <v>1706</v>
      </c>
      <c r="D121" t="s">
        <v>1705</v>
      </c>
      <c r="G121" t="s">
        <v>120</v>
      </c>
    </row>
    <row r="122" spans="1:10" x14ac:dyDescent="0.25">
      <c r="A122">
        <v>1302</v>
      </c>
      <c r="B122">
        <v>355</v>
      </c>
      <c r="C122" t="s">
        <v>13</v>
      </c>
      <c r="D122" t="s">
        <v>1716</v>
      </c>
      <c r="G122" t="s">
        <v>120</v>
      </c>
    </row>
    <row r="123" spans="1:10" x14ac:dyDescent="0.25">
      <c r="A123">
        <v>1303</v>
      </c>
      <c r="B123">
        <v>356</v>
      </c>
      <c r="C123" t="s">
        <v>465</v>
      </c>
      <c r="D123" t="s">
        <v>3779</v>
      </c>
      <c r="G123" t="s">
        <v>45</v>
      </c>
    </row>
    <row r="124" spans="1:10" x14ac:dyDescent="0.25">
      <c r="A124">
        <v>1304</v>
      </c>
      <c r="B124">
        <v>357</v>
      </c>
      <c r="C124" t="s">
        <v>1730</v>
      </c>
      <c r="D124" t="s">
        <v>3845</v>
      </c>
      <c r="E124" t="s">
        <v>3836</v>
      </c>
    </row>
    <row r="125" spans="1:10" x14ac:dyDescent="0.25">
      <c r="A125">
        <v>1311</v>
      </c>
      <c r="B125">
        <v>361</v>
      </c>
      <c r="C125" t="s">
        <v>23</v>
      </c>
      <c r="D125" t="s">
        <v>55</v>
      </c>
      <c r="G125" t="s">
        <v>45</v>
      </c>
      <c r="H125" t="s">
        <v>7</v>
      </c>
      <c r="I125" t="s">
        <v>54</v>
      </c>
    </row>
    <row r="126" spans="1:10" x14ac:dyDescent="0.25">
      <c r="A126">
        <v>1312</v>
      </c>
      <c r="B126">
        <v>362</v>
      </c>
      <c r="C126" t="s">
        <v>13</v>
      </c>
      <c r="D126" t="s">
        <v>53</v>
      </c>
      <c r="G126" t="s">
        <v>45</v>
      </c>
    </row>
    <row r="127" spans="1:10" x14ac:dyDescent="0.25">
      <c r="A127">
        <v>1313</v>
      </c>
      <c r="B127">
        <v>363</v>
      </c>
      <c r="C127" t="s">
        <v>52</v>
      </c>
      <c r="D127" t="s">
        <v>1762</v>
      </c>
      <c r="G127" t="s">
        <v>45</v>
      </c>
      <c r="H127" t="s">
        <v>10</v>
      </c>
      <c r="I127" t="s">
        <v>51</v>
      </c>
    </row>
    <row r="128" spans="1:10" x14ac:dyDescent="0.25">
      <c r="A128">
        <v>1314</v>
      </c>
      <c r="B128">
        <v>364</v>
      </c>
      <c r="C128" t="s">
        <v>1775</v>
      </c>
      <c r="D128" t="s">
        <v>49</v>
      </c>
      <c r="G128" t="s">
        <v>45</v>
      </c>
    </row>
    <row r="129" spans="1:9" x14ac:dyDescent="0.25">
      <c r="A129">
        <v>1315</v>
      </c>
      <c r="B129">
        <v>365</v>
      </c>
      <c r="C129" t="s">
        <v>465</v>
      </c>
      <c r="D129" t="s">
        <v>89</v>
      </c>
      <c r="G129" t="s">
        <v>45</v>
      </c>
    </row>
    <row r="130" spans="1:9" x14ac:dyDescent="0.25">
      <c r="A130">
        <v>1321</v>
      </c>
      <c r="B130">
        <v>366</v>
      </c>
      <c r="C130" s="22" t="s">
        <v>1802</v>
      </c>
      <c r="D130" t="s">
        <v>1804</v>
      </c>
      <c r="G130" t="s">
        <v>45</v>
      </c>
    </row>
    <row r="131" spans="1:9" x14ac:dyDescent="0.25">
      <c r="A131">
        <v>1322</v>
      </c>
      <c r="B131">
        <v>367</v>
      </c>
      <c r="C131" t="s">
        <v>465</v>
      </c>
      <c r="D131" t="s">
        <v>3745</v>
      </c>
      <c r="G131" t="s">
        <v>45</v>
      </c>
      <c r="H131" t="s">
        <v>7</v>
      </c>
      <c r="I131" t="s">
        <v>48</v>
      </c>
    </row>
    <row r="132" spans="1:9" x14ac:dyDescent="0.25">
      <c r="A132">
        <v>1332</v>
      </c>
      <c r="B132">
        <v>371</v>
      </c>
      <c r="C132" t="s">
        <v>3804</v>
      </c>
      <c r="D132" t="s">
        <v>1809</v>
      </c>
      <c r="G132" t="s">
        <v>45</v>
      </c>
    </row>
    <row r="133" spans="1:9" x14ac:dyDescent="0.25">
      <c r="A133">
        <v>1333</v>
      </c>
      <c r="B133">
        <v>372</v>
      </c>
      <c r="C133" t="s">
        <v>1850</v>
      </c>
      <c r="D133" t="s">
        <v>1851</v>
      </c>
      <c r="G133" t="s">
        <v>45</v>
      </c>
    </row>
    <row r="134" spans="1:9" x14ac:dyDescent="0.25">
      <c r="A134">
        <v>1341</v>
      </c>
      <c r="B134">
        <v>373</v>
      </c>
      <c r="C134" t="s">
        <v>19</v>
      </c>
      <c r="D134" t="s">
        <v>1856</v>
      </c>
      <c r="G134" t="s">
        <v>45</v>
      </c>
    </row>
    <row r="135" spans="1:9" x14ac:dyDescent="0.25">
      <c r="A135" s="5">
        <v>1342</v>
      </c>
      <c r="B135">
        <v>374</v>
      </c>
      <c r="C135" t="s">
        <v>465</v>
      </c>
      <c r="D135" t="s">
        <v>46</v>
      </c>
      <c r="G135" t="s">
        <v>45</v>
      </c>
    </row>
    <row r="136" spans="1:9" x14ac:dyDescent="0.25">
      <c r="A136">
        <v>1361</v>
      </c>
      <c r="B136">
        <v>382</v>
      </c>
      <c r="C136" t="s">
        <v>465</v>
      </c>
      <c r="D136" t="s">
        <v>1913</v>
      </c>
      <c r="G136" t="s">
        <v>45</v>
      </c>
    </row>
    <row r="137" spans="1:9" x14ac:dyDescent="0.25">
      <c r="A137">
        <v>1371</v>
      </c>
      <c r="B137">
        <v>391</v>
      </c>
      <c r="C137" t="s">
        <v>11</v>
      </c>
      <c r="D137" t="s">
        <v>66</v>
      </c>
      <c r="G137" t="s">
        <v>61</v>
      </c>
    </row>
    <row r="138" spans="1:9" x14ac:dyDescent="0.25">
      <c r="A138">
        <v>1381</v>
      </c>
      <c r="B138">
        <v>392</v>
      </c>
      <c r="C138" t="s">
        <v>23</v>
      </c>
      <c r="D138" t="s">
        <v>2148</v>
      </c>
      <c r="G138" t="s">
        <v>61</v>
      </c>
    </row>
    <row r="139" spans="1:9" x14ac:dyDescent="0.25">
      <c r="A139">
        <v>1382</v>
      </c>
      <c r="B139">
        <v>393</v>
      </c>
      <c r="C139" t="s">
        <v>35</v>
      </c>
      <c r="D139" t="s">
        <v>65</v>
      </c>
      <c r="G139" t="s">
        <v>61</v>
      </c>
    </row>
    <row r="140" spans="1:9" x14ac:dyDescent="0.25">
      <c r="A140">
        <v>1383</v>
      </c>
      <c r="B140">
        <v>394</v>
      </c>
      <c r="C140" t="s">
        <v>24</v>
      </c>
      <c r="D140" t="s">
        <v>64</v>
      </c>
      <c r="G140" t="s">
        <v>61</v>
      </c>
    </row>
    <row r="141" spans="1:9" x14ac:dyDescent="0.25">
      <c r="A141">
        <v>1391</v>
      </c>
      <c r="B141">
        <v>401</v>
      </c>
      <c r="C141" t="s">
        <v>2082</v>
      </c>
      <c r="D141" t="s">
        <v>2083</v>
      </c>
      <c r="E141" t="s">
        <v>63</v>
      </c>
      <c r="G141" t="s">
        <v>61</v>
      </c>
    </row>
    <row r="142" spans="1:9" x14ac:dyDescent="0.25">
      <c r="A142">
        <v>1392</v>
      </c>
      <c r="B142">
        <v>402</v>
      </c>
      <c r="C142" t="s">
        <v>23</v>
      </c>
      <c r="D142" t="s">
        <v>2148</v>
      </c>
      <c r="G142" t="s">
        <v>61</v>
      </c>
    </row>
    <row r="143" spans="1:9" x14ac:dyDescent="0.25">
      <c r="A143">
        <v>1401</v>
      </c>
      <c r="B143">
        <v>403</v>
      </c>
      <c r="C143" t="s">
        <v>2177</v>
      </c>
      <c r="D143" t="s">
        <v>3805</v>
      </c>
      <c r="E143" t="s">
        <v>3836</v>
      </c>
    </row>
    <row r="144" spans="1:9" x14ac:dyDescent="0.25">
      <c r="A144">
        <v>1402</v>
      </c>
      <c r="B144">
        <v>404</v>
      </c>
      <c r="C144" t="s">
        <v>3756</v>
      </c>
      <c r="D144" t="s">
        <v>2182</v>
      </c>
      <c r="E144" t="s">
        <v>62</v>
      </c>
      <c r="G144" t="s">
        <v>61</v>
      </c>
    </row>
    <row r="145" spans="1:10" x14ac:dyDescent="0.25">
      <c r="A145">
        <v>1411</v>
      </c>
      <c r="B145">
        <v>411</v>
      </c>
      <c r="C145" t="s">
        <v>19</v>
      </c>
      <c r="D145" t="s">
        <v>2199</v>
      </c>
      <c r="G145" t="s">
        <v>61</v>
      </c>
    </row>
    <row r="146" spans="1:10" x14ac:dyDescent="0.25">
      <c r="A146">
        <v>1421</v>
      </c>
      <c r="B146">
        <v>412</v>
      </c>
      <c r="C146" t="s">
        <v>2227</v>
      </c>
      <c r="D146" t="s">
        <v>2228</v>
      </c>
      <c r="G146" t="s">
        <v>33</v>
      </c>
    </row>
    <row r="147" spans="1:10" x14ac:dyDescent="0.25">
      <c r="A147">
        <v>1431</v>
      </c>
      <c r="B147">
        <v>421</v>
      </c>
      <c r="C147" s="22" t="s">
        <v>7</v>
      </c>
      <c r="D147" t="s">
        <v>2255</v>
      </c>
      <c r="G147" t="s">
        <v>33</v>
      </c>
    </row>
    <row r="148" spans="1:10" x14ac:dyDescent="0.25">
      <c r="A148">
        <v>1432</v>
      </c>
      <c r="B148">
        <v>422</v>
      </c>
      <c r="C148" t="s">
        <v>32</v>
      </c>
      <c r="D148" t="s">
        <v>3762</v>
      </c>
      <c r="E148" t="s">
        <v>3763</v>
      </c>
      <c r="G148" t="s">
        <v>33</v>
      </c>
    </row>
    <row r="149" spans="1:10" x14ac:dyDescent="0.25">
      <c r="A149">
        <v>1441</v>
      </c>
      <c r="B149">
        <v>423</v>
      </c>
      <c r="C149" t="s">
        <v>1850</v>
      </c>
      <c r="D149" t="s">
        <v>2277</v>
      </c>
      <c r="G149" t="s">
        <v>33</v>
      </c>
    </row>
    <row r="150" spans="1:10" x14ac:dyDescent="0.25">
      <c r="A150">
        <v>1442</v>
      </c>
      <c r="B150">
        <v>424</v>
      </c>
      <c r="C150" t="s">
        <v>165</v>
      </c>
      <c r="D150" t="s">
        <v>3832</v>
      </c>
      <c r="G150" t="s">
        <v>33</v>
      </c>
    </row>
    <row r="151" spans="1:10" x14ac:dyDescent="0.25">
      <c r="A151">
        <v>1443</v>
      </c>
      <c r="B151">
        <v>425</v>
      </c>
      <c r="C151" t="s">
        <v>3755</v>
      </c>
      <c r="D151" t="s">
        <v>44</v>
      </c>
      <c r="G151" t="s">
        <v>33</v>
      </c>
    </row>
    <row r="152" spans="1:10" x14ac:dyDescent="0.25">
      <c r="A152">
        <v>1451</v>
      </c>
      <c r="B152">
        <v>431</v>
      </c>
      <c r="C152" t="s">
        <v>2306</v>
      </c>
      <c r="D152" t="s">
        <v>2302</v>
      </c>
      <c r="G152" t="s">
        <v>33</v>
      </c>
    </row>
    <row r="153" spans="1:10" x14ac:dyDescent="0.25">
      <c r="A153">
        <v>1452</v>
      </c>
      <c r="B153">
        <v>432</v>
      </c>
      <c r="C153" t="s">
        <v>43</v>
      </c>
      <c r="D153" t="s">
        <v>42</v>
      </c>
      <c r="G153" t="s">
        <v>33</v>
      </c>
      <c r="H153" t="s">
        <v>41</v>
      </c>
      <c r="I153" t="s">
        <v>40</v>
      </c>
    </row>
    <row r="154" spans="1:10" x14ac:dyDescent="0.25">
      <c r="A154">
        <v>1461</v>
      </c>
      <c r="B154">
        <v>433</v>
      </c>
      <c r="C154" t="s">
        <v>3846</v>
      </c>
      <c r="D154" t="s">
        <v>2349</v>
      </c>
      <c r="G154" t="s">
        <v>33</v>
      </c>
    </row>
    <row r="155" spans="1:10" x14ac:dyDescent="0.25">
      <c r="A155">
        <v>1462</v>
      </c>
      <c r="B155">
        <v>434</v>
      </c>
      <c r="C155" t="s">
        <v>39</v>
      </c>
      <c r="D155" t="s">
        <v>3834</v>
      </c>
      <c r="G155" t="s">
        <v>33</v>
      </c>
    </row>
    <row r="156" spans="1:10" x14ac:dyDescent="0.25">
      <c r="A156">
        <v>1463</v>
      </c>
      <c r="B156">
        <v>435</v>
      </c>
      <c r="C156" t="s">
        <v>38</v>
      </c>
      <c r="D156" t="s">
        <v>3833</v>
      </c>
      <c r="G156" t="s">
        <v>33</v>
      </c>
    </row>
    <row r="157" spans="1:10" x14ac:dyDescent="0.25">
      <c r="A157">
        <v>1471</v>
      </c>
      <c r="B157">
        <v>443</v>
      </c>
      <c r="C157" t="s">
        <v>2481</v>
      </c>
      <c r="D157" t="s">
        <v>1219</v>
      </c>
      <c r="G157" t="s">
        <v>33</v>
      </c>
    </row>
    <row r="158" spans="1:10" x14ac:dyDescent="0.25">
      <c r="A158">
        <v>1472</v>
      </c>
      <c r="B158">
        <v>441</v>
      </c>
      <c r="C158" t="s">
        <v>37</v>
      </c>
      <c r="D158" t="s">
        <v>3809</v>
      </c>
      <c r="G158" t="s">
        <v>33</v>
      </c>
      <c r="H158" t="s">
        <v>10</v>
      </c>
      <c r="I158" t="s">
        <v>36</v>
      </c>
    </row>
    <row r="159" spans="1:10" x14ac:dyDescent="0.25">
      <c r="A159">
        <v>1482</v>
      </c>
      <c r="B159">
        <v>442</v>
      </c>
      <c r="C159" t="s">
        <v>35</v>
      </c>
      <c r="D159" t="s">
        <v>169</v>
      </c>
      <c r="G159" t="s">
        <v>33</v>
      </c>
      <c r="H159" t="s">
        <v>7</v>
      </c>
      <c r="I159" t="s">
        <v>34</v>
      </c>
      <c r="J159" s="37" t="s">
        <v>190</v>
      </c>
    </row>
    <row r="160" spans="1:10" x14ac:dyDescent="0.25">
      <c r="A160">
        <v>1491</v>
      </c>
      <c r="B160">
        <v>451</v>
      </c>
      <c r="C160" t="s">
        <v>465</v>
      </c>
      <c r="D160" t="s">
        <v>3781</v>
      </c>
      <c r="G160" t="s">
        <v>166</v>
      </c>
    </row>
    <row r="161" spans="1:10" x14ac:dyDescent="0.25">
      <c r="A161">
        <v>1492</v>
      </c>
      <c r="B161">
        <v>452</v>
      </c>
      <c r="C161" t="s">
        <v>13</v>
      </c>
      <c r="D161" t="s">
        <v>12</v>
      </c>
      <c r="G161" t="s">
        <v>4</v>
      </c>
    </row>
    <row r="162" spans="1:10" x14ac:dyDescent="0.25">
      <c r="A162">
        <v>1493</v>
      </c>
      <c r="B162">
        <v>453</v>
      </c>
      <c r="C162" t="s">
        <v>11</v>
      </c>
      <c r="D162" t="s">
        <v>2513</v>
      </c>
      <c r="G162" t="s">
        <v>4</v>
      </c>
    </row>
    <row r="163" spans="1:10" x14ac:dyDescent="0.25">
      <c r="A163">
        <v>1501</v>
      </c>
      <c r="B163">
        <v>454</v>
      </c>
      <c r="C163" t="s">
        <v>2524</v>
      </c>
      <c r="D163" t="s">
        <v>2525</v>
      </c>
      <c r="G163" t="s">
        <v>4</v>
      </c>
    </row>
    <row r="164" spans="1:10" x14ac:dyDescent="0.25">
      <c r="A164">
        <v>1502</v>
      </c>
      <c r="B164">
        <v>455</v>
      </c>
      <c r="C164" t="s">
        <v>2533</v>
      </c>
      <c r="D164" t="s">
        <v>8</v>
      </c>
      <c r="G164" t="s">
        <v>4</v>
      </c>
      <c r="H164" t="s">
        <v>10</v>
      </c>
      <c r="I164" t="s">
        <v>9</v>
      </c>
    </row>
    <row r="165" spans="1:10" x14ac:dyDescent="0.25">
      <c r="A165">
        <v>1503</v>
      </c>
      <c r="B165">
        <v>456</v>
      </c>
      <c r="C165" t="s">
        <v>1730</v>
      </c>
      <c r="D165" t="s">
        <v>8</v>
      </c>
      <c r="G165" t="s">
        <v>4</v>
      </c>
      <c r="H165" t="s">
        <v>7</v>
      </c>
      <c r="I165" t="s">
        <v>6</v>
      </c>
    </row>
    <row r="166" spans="1:10" x14ac:dyDescent="0.25">
      <c r="A166">
        <v>1511</v>
      </c>
      <c r="B166">
        <v>461</v>
      </c>
      <c r="C166" t="s">
        <v>465</v>
      </c>
      <c r="D166" t="s">
        <v>3837</v>
      </c>
      <c r="G166" t="s">
        <v>4</v>
      </c>
    </row>
    <row r="167" spans="1:10" x14ac:dyDescent="0.25">
      <c r="A167">
        <v>1521</v>
      </c>
      <c r="B167">
        <v>462</v>
      </c>
      <c r="C167" t="s">
        <v>465</v>
      </c>
      <c r="D167" t="s">
        <v>5</v>
      </c>
      <c r="G167" t="s">
        <v>4</v>
      </c>
      <c r="J167" s="37" t="s">
        <v>189</v>
      </c>
    </row>
    <row r="168" spans="1:10" x14ac:dyDescent="0.25">
      <c r="A168">
        <v>1522</v>
      </c>
      <c r="B168">
        <v>463</v>
      </c>
      <c r="C168" t="s">
        <v>11</v>
      </c>
      <c r="D168" t="s">
        <v>25</v>
      </c>
      <c r="G168" t="s">
        <v>3844</v>
      </c>
    </row>
    <row r="169" spans="1:10" x14ac:dyDescent="0.25">
      <c r="A169">
        <v>1531</v>
      </c>
      <c r="B169">
        <v>471</v>
      </c>
      <c r="C169" t="s">
        <v>24</v>
      </c>
      <c r="D169" t="s">
        <v>21</v>
      </c>
      <c r="G169" t="s">
        <v>3844</v>
      </c>
    </row>
    <row r="170" spans="1:10" x14ac:dyDescent="0.25">
      <c r="A170">
        <v>1532</v>
      </c>
      <c r="B170">
        <v>472</v>
      </c>
      <c r="C170" t="s">
        <v>2623</v>
      </c>
      <c r="D170" t="s">
        <v>2624</v>
      </c>
      <c r="E170" t="s">
        <v>3836</v>
      </c>
    </row>
    <row r="171" spans="1:10" x14ac:dyDescent="0.25">
      <c r="A171">
        <v>1541</v>
      </c>
      <c r="B171">
        <v>473</v>
      </c>
      <c r="C171" t="s">
        <v>23</v>
      </c>
      <c r="D171" t="s">
        <v>22</v>
      </c>
      <c r="G171" t="s">
        <v>3844</v>
      </c>
    </row>
    <row r="172" spans="1:10" x14ac:dyDescent="0.25">
      <c r="A172">
        <v>1551</v>
      </c>
      <c r="B172">
        <v>481</v>
      </c>
      <c r="C172" t="s">
        <v>11</v>
      </c>
      <c r="D172" t="s">
        <v>3760</v>
      </c>
      <c r="G172" t="s">
        <v>3844</v>
      </c>
      <c r="J172" s="37" t="s">
        <v>190</v>
      </c>
    </row>
    <row r="173" spans="1:10" x14ac:dyDescent="0.25">
      <c r="A173">
        <v>1561</v>
      </c>
      <c r="B173">
        <v>482</v>
      </c>
      <c r="C173" t="s">
        <v>3759</v>
      </c>
      <c r="D173" t="s">
        <v>21</v>
      </c>
      <c r="G173" t="s">
        <v>3844</v>
      </c>
      <c r="H173" t="s">
        <v>7</v>
      </c>
      <c r="I173" t="s">
        <v>20</v>
      </c>
    </row>
    <row r="174" spans="1:10" x14ac:dyDescent="0.25">
      <c r="A174">
        <v>1571</v>
      </c>
      <c r="B174">
        <v>491</v>
      </c>
      <c r="C174" t="s">
        <v>19</v>
      </c>
      <c r="D174" t="s">
        <v>3768</v>
      </c>
      <c r="G174" t="s">
        <v>3844</v>
      </c>
    </row>
    <row r="175" spans="1:10" x14ac:dyDescent="0.25">
      <c r="A175">
        <v>1581</v>
      </c>
      <c r="B175">
        <v>492</v>
      </c>
      <c r="C175" t="s">
        <v>18</v>
      </c>
      <c r="D175" t="s">
        <v>3758</v>
      </c>
      <c r="G175" t="s">
        <v>3844</v>
      </c>
    </row>
    <row r="176" spans="1:10" x14ac:dyDescent="0.25">
      <c r="A176">
        <v>1582</v>
      </c>
      <c r="B176">
        <v>501</v>
      </c>
      <c r="C176" t="s">
        <v>17</v>
      </c>
      <c r="D176" t="s">
        <v>3530</v>
      </c>
      <c r="G176" t="s">
        <v>3844</v>
      </c>
      <c r="H176" t="s">
        <v>3838</v>
      </c>
      <c r="I176" t="s">
        <v>16</v>
      </c>
    </row>
    <row r="177" spans="1:10" x14ac:dyDescent="0.25">
      <c r="A177">
        <v>1583</v>
      </c>
      <c r="B177">
        <v>502</v>
      </c>
      <c r="C177" t="s">
        <v>43</v>
      </c>
      <c r="D177" t="s">
        <v>2769</v>
      </c>
      <c r="G177" t="s">
        <v>3844</v>
      </c>
      <c r="H177" t="s">
        <v>10</v>
      </c>
      <c r="I177" t="s">
        <v>3848</v>
      </c>
    </row>
    <row r="178" spans="1:10" x14ac:dyDescent="0.25">
      <c r="A178">
        <v>1591</v>
      </c>
      <c r="B178">
        <v>503</v>
      </c>
      <c r="C178" t="s">
        <v>13</v>
      </c>
      <c r="D178" t="s">
        <v>14</v>
      </c>
      <c r="G178" t="s">
        <v>3844</v>
      </c>
      <c r="J178" t="s">
        <v>189</v>
      </c>
    </row>
    <row r="179" spans="1:10" x14ac:dyDescent="0.25">
      <c r="A179">
        <v>1601</v>
      </c>
      <c r="B179">
        <v>551</v>
      </c>
      <c r="C179" t="s">
        <v>50</v>
      </c>
      <c r="D179" t="s">
        <v>64</v>
      </c>
      <c r="G179" t="s">
        <v>139</v>
      </c>
    </row>
    <row r="180" spans="1:10" x14ac:dyDescent="0.25">
      <c r="A180">
        <v>1611</v>
      </c>
      <c r="B180">
        <v>552</v>
      </c>
      <c r="C180" t="s">
        <v>13</v>
      </c>
      <c r="D180" t="s">
        <v>142</v>
      </c>
      <c r="G180" t="s">
        <v>139</v>
      </c>
    </row>
    <row r="181" spans="1:10" x14ac:dyDescent="0.25">
      <c r="A181">
        <v>1622</v>
      </c>
      <c r="B181">
        <v>562</v>
      </c>
      <c r="C181" t="s">
        <v>13</v>
      </c>
      <c r="D181" t="s">
        <v>2879</v>
      </c>
      <c r="G181" t="s">
        <v>139</v>
      </c>
    </row>
    <row r="182" spans="1:10" x14ac:dyDescent="0.25">
      <c r="A182">
        <v>1623</v>
      </c>
      <c r="B182">
        <v>561</v>
      </c>
      <c r="C182" t="s">
        <v>2114</v>
      </c>
      <c r="D182" t="s">
        <v>141</v>
      </c>
      <c r="G182" t="s">
        <v>139</v>
      </c>
      <c r="H182" t="s">
        <v>7</v>
      </c>
      <c r="I182" t="s">
        <v>140</v>
      </c>
    </row>
    <row r="183" spans="1:10" x14ac:dyDescent="0.25">
      <c r="A183">
        <v>1631</v>
      </c>
      <c r="B183">
        <v>563</v>
      </c>
      <c r="C183" t="s">
        <v>32</v>
      </c>
      <c r="D183" t="s">
        <v>2884</v>
      </c>
      <c r="F183" t="s">
        <v>27</v>
      </c>
      <c r="G183" t="s">
        <v>26</v>
      </c>
    </row>
    <row r="184" spans="1:10" x14ac:dyDescent="0.25">
      <c r="A184">
        <v>1641</v>
      </c>
      <c r="B184">
        <v>571</v>
      </c>
      <c r="C184" t="s">
        <v>13</v>
      </c>
      <c r="D184" t="s">
        <v>351</v>
      </c>
      <c r="F184" t="s">
        <v>27</v>
      </c>
      <c r="G184" t="s">
        <v>26</v>
      </c>
    </row>
    <row r="185" spans="1:10" x14ac:dyDescent="0.25">
      <c r="A185">
        <v>1651</v>
      </c>
      <c r="B185">
        <v>572</v>
      </c>
      <c r="C185" t="s">
        <v>23</v>
      </c>
      <c r="D185" t="s">
        <v>2938</v>
      </c>
      <c r="F185" t="s">
        <v>27</v>
      </c>
      <c r="G185" t="s">
        <v>3753</v>
      </c>
    </row>
    <row r="186" spans="1:10" x14ac:dyDescent="0.25">
      <c r="A186">
        <v>1661</v>
      </c>
      <c r="B186">
        <v>581</v>
      </c>
      <c r="C186" t="s">
        <v>2952</v>
      </c>
      <c r="D186" t="s">
        <v>2954</v>
      </c>
      <c r="F186" t="s">
        <v>27</v>
      </c>
      <c r="G186" t="s">
        <v>26</v>
      </c>
      <c r="H186" t="s">
        <v>10</v>
      </c>
      <c r="I186" t="s">
        <v>31</v>
      </c>
    </row>
    <row r="187" spans="1:10" x14ac:dyDescent="0.25">
      <c r="A187">
        <v>1671</v>
      </c>
      <c r="B187">
        <v>582</v>
      </c>
      <c r="C187" t="s">
        <v>37</v>
      </c>
      <c r="D187" t="s">
        <v>2954</v>
      </c>
      <c r="F187" t="s">
        <v>27</v>
      </c>
      <c r="G187" t="s">
        <v>26</v>
      </c>
      <c r="H187" t="s">
        <v>10</v>
      </c>
      <c r="I187" t="s">
        <v>30</v>
      </c>
    </row>
    <row r="188" spans="1:10" x14ac:dyDescent="0.25">
      <c r="A188">
        <v>1681</v>
      </c>
      <c r="B188">
        <v>611</v>
      </c>
      <c r="C188" t="s">
        <v>19</v>
      </c>
      <c r="D188" t="s">
        <v>3835</v>
      </c>
      <c r="F188" t="s">
        <v>27</v>
      </c>
      <c r="G188" t="s">
        <v>26</v>
      </c>
      <c r="H188" t="s">
        <v>7</v>
      </c>
      <c r="I188" t="s">
        <v>29</v>
      </c>
    </row>
    <row r="189" spans="1:10" x14ac:dyDescent="0.25">
      <c r="A189">
        <v>1691</v>
      </c>
      <c r="B189">
        <v>612</v>
      </c>
      <c r="C189" t="s">
        <v>2998</v>
      </c>
      <c r="D189" t="s">
        <v>141</v>
      </c>
      <c r="F189" t="s">
        <v>27</v>
      </c>
      <c r="G189" t="s">
        <v>26</v>
      </c>
      <c r="H189" t="s">
        <v>10</v>
      </c>
      <c r="I189" t="s">
        <v>28</v>
      </c>
    </row>
    <row r="190" spans="1:10" x14ac:dyDescent="0.25">
      <c r="A190">
        <v>1701</v>
      </c>
      <c r="B190">
        <v>613</v>
      </c>
      <c r="C190" t="s">
        <v>50</v>
      </c>
      <c r="D190" t="s">
        <v>1528</v>
      </c>
      <c r="F190" t="s">
        <v>27</v>
      </c>
      <c r="G190" t="s">
        <v>26</v>
      </c>
    </row>
    <row r="191" spans="1:10" x14ac:dyDescent="0.25">
      <c r="A191">
        <v>1711</v>
      </c>
      <c r="B191">
        <v>614</v>
      </c>
      <c r="C191" t="s">
        <v>465</v>
      </c>
      <c r="D191" t="s">
        <v>8</v>
      </c>
      <c r="F191" t="s">
        <v>27</v>
      </c>
      <c r="G191" t="s">
        <v>26</v>
      </c>
    </row>
    <row r="192" spans="1:10" x14ac:dyDescent="0.25">
      <c r="A192">
        <v>1721</v>
      </c>
      <c r="B192">
        <v>621</v>
      </c>
      <c r="C192" t="s">
        <v>19</v>
      </c>
      <c r="D192" t="s">
        <v>180</v>
      </c>
      <c r="G192" t="s">
        <v>3081</v>
      </c>
    </row>
    <row r="193" spans="1:11" x14ac:dyDescent="0.25">
      <c r="A193">
        <v>1722</v>
      </c>
      <c r="B193">
        <v>622</v>
      </c>
      <c r="C193" t="s">
        <v>13</v>
      </c>
      <c r="D193" t="s">
        <v>179</v>
      </c>
      <c r="G193" t="s">
        <v>3081</v>
      </c>
    </row>
    <row r="194" spans="1:11" x14ac:dyDescent="0.25">
      <c r="A194" s="5">
        <v>1731</v>
      </c>
      <c r="B194" s="5">
        <v>623</v>
      </c>
      <c r="C194" s="5" t="s">
        <v>104</v>
      </c>
      <c r="D194" s="5" t="s">
        <v>3268</v>
      </c>
      <c r="E194" s="5"/>
      <c r="F194" s="5"/>
      <c r="G194" t="s">
        <v>3081</v>
      </c>
      <c r="H194" s="5"/>
      <c r="I194" s="5"/>
      <c r="J194" s="5"/>
      <c r="K194" s="5"/>
    </row>
    <row r="195" spans="1:11" x14ac:dyDescent="0.25">
      <c r="A195">
        <v>1741</v>
      </c>
      <c r="B195">
        <v>624</v>
      </c>
      <c r="C195" t="s">
        <v>50</v>
      </c>
      <c r="D195" t="s">
        <v>64</v>
      </c>
      <c r="G195" t="s">
        <v>3081</v>
      </c>
    </row>
    <row r="196" spans="1:11" x14ac:dyDescent="0.25">
      <c r="A196">
        <v>1751</v>
      </c>
      <c r="B196">
        <v>625</v>
      </c>
      <c r="C196" t="s">
        <v>3152</v>
      </c>
      <c r="D196" t="s">
        <v>3769</v>
      </c>
      <c r="G196" t="s">
        <v>3081</v>
      </c>
    </row>
    <row r="197" spans="1:11" x14ac:dyDescent="0.25">
      <c r="A197">
        <v>1761</v>
      </c>
      <c r="B197">
        <v>651</v>
      </c>
      <c r="C197" t="s">
        <v>13</v>
      </c>
      <c r="D197" t="s">
        <v>3760</v>
      </c>
      <c r="G197" t="s">
        <v>3081</v>
      </c>
    </row>
    <row r="198" spans="1:11" x14ac:dyDescent="0.25">
      <c r="A198" s="5">
        <v>1762</v>
      </c>
      <c r="B198" s="5">
        <v>652</v>
      </c>
      <c r="C198" s="5" t="s">
        <v>178</v>
      </c>
      <c r="D198" s="5" t="s">
        <v>177</v>
      </c>
      <c r="E198" s="5" t="s">
        <v>176</v>
      </c>
      <c r="F198" s="5"/>
      <c r="G198" t="s">
        <v>3081</v>
      </c>
      <c r="H198" s="5"/>
      <c r="I198" s="5"/>
      <c r="J198" s="5"/>
      <c r="K198" s="5"/>
    </row>
    <row r="199" spans="1:11" x14ac:dyDescent="0.25">
      <c r="A199">
        <v>1771</v>
      </c>
      <c r="B199">
        <v>653</v>
      </c>
      <c r="C199" t="s">
        <v>3216</v>
      </c>
      <c r="D199" t="s">
        <v>3217</v>
      </c>
      <c r="G199" t="s">
        <v>3081</v>
      </c>
    </row>
    <row r="200" spans="1:11" x14ac:dyDescent="0.25">
      <c r="A200">
        <v>1772</v>
      </c>
      <c r="B200">
        <v>654</v>
      </c>
      <c r="C200" t="s">
        <v>3216</v>
      </c>
      <c r="D200" t="s">
        <v>102</v>
      </c>
      <c r="G200" t="s">
        <v>77</v>
      </c>
    </row>
    <row r="201" spans="1:11" x14ac:dyDescent="0.25">
      <c r="A201">
        <v>1773</v>
      </c>
      <c r="B201">
        <v>655</v>
      </c>
      <c r="C201" t="s">
        <v>23</v>
      </c>
      <c r="D201" t="s">
        <v>3243</v>
      </c>
      <c r="G201" t="s">
        <v>101</v>
      </c>
    </row>
    <row r="202" spans="1:11" x14ac:dyDescent="0.25">
      <c r="A202">
        <v>1781</v>
      </c>
      <c r="B202">
        <v>661</v>
      </c>
      <c r="C202" t="s">
        <v>465</v>
      </c>
      <c r="D202" t="s">
        <v>3250</v>
      </c>
      <c r="G202" t="s">
        <v>101</v>
      </c>
    </row>
    <row r="203" spans="1:11" x14ac:dyDescent="0.25">
      <c r="A203">
        <v>1782</v>
      </c>
      <c r="B203">
        <v>662</v>
      </c>
      <c r="C203" t="s">
        <v>465</v>
      </c>
      <c r="D203" t="s">
        <v>102</v>
      </c>
      <c r="G203" t="s">
        <v>101</v>
      </c>
    </row>
    <row r="204" spans="1:11" x14ac:dyDescent="0.25">
      <c r="A204">
        <v>1791</v>
      </c>
      <c r="B204">
        <v>663</v>
      </c>
      <c r="C204" t="s">
        <v>465</v>
      </c>
      <c r="D204" t="s">
        <v>64</v>
      </c>
      <c r="G204" t="s">
        <v>101</v>
      </c>
    </row>
    <row r="205" spans="1:11" x14ac:dyDescent="0.25">
      <c r="A205">
        <v>1792</v>
      </c>
      <c r="B205">
        <v>664</v>
      </c>
      <c r="C205" t="s">
        <v>23</v>
      </c>
      <c r="D205" t="s">
        <v>65</v>
      </c>
      <c r="G205" t="s">
        <v>155</v>
      </c>
    </row>
    <row r="206" spans="1:11" x14ac:dyDescent="0.25">
      <c r="A206">
        <v>1801</v>
      </c>
      <c r="B206">
        <v>671</v>
      </c>
      <c r="C206" t="s">
        <v>3299</v>
      </c>
      <c r="D206" t="s">
        <v>65</v>
      </c>
      <c r="G206" t="s">
        <v>155</v>
      </c>
    </row>
    <row r="207" spans="1:11" x14ac:dyDescent="0.25">
      <c r="A207">
        <v>1802</v>
      </c>
      <c r="B207">
        <v>672</v>
      </c>
      <c r="C207" t="s">
        <v>3311</v>
      </c>
      <c r="D207" t="s">
        <v>3313</v>
      </c>
      <c r="G207" t="s">
        <v>155</v>
      </c>
    </row>
    <row r="208" spans="1:11" x14ac:dyDescent="0.25">
      <c r="A208">
        <v>1803</v>
      </c>
      <c r="B208">
        <v>673</v>
      </c>
      <c r="C208" t="s">
        <v>13</v>
      </c>
      <c r="D208" t="s">
        <v>3330</v>
      </c>
      <c r="G208" t="s">
        <v>155</v>
      </c>
    </row>
    <row r="209" spans="1:9" x14ac:dyDescent="0.25">
      <c r="A209">
        <v>1811</v>
      </c>
      <c r="B209">
        <v>674</v>
      </c>
      <c r="C209" t="s">
        <v>13</v>
      </c>
      <c r="D209" t="s">
        <v>3782</v>
      </c>
      <c r="G209" t="s">
        <v>155</v>
      </c>
    </row>
    <row r="210" spans="1:9" x14ac:dyDescent="0.25">
      <c r="A210">
        <v>1812</v>
      </c>
      <c r="B210">
        <v>675</v>
      </c>
      <c r="C210" t="s">
        <v>3360</v>
      </c>
      <c r="D210" t="s">
        <v>3361</v>
      </c>
      <c r="G210" t="s">
        <v>155</v>
      </c>
    </row>
    <row r="211" spans="1:9" x14ac:dyDescent="0.25">
      <c r="A211">
        <v>1813</v>
      </c>
      <c r="B211">
        <v>676</v>
      </c>
      <c r="C211" t="s">
        <v>1850</v>
      </c>
      <c r="D211" t="s">
        <v>3374</v>
      </c>
      <c r="G211" t="s">
        <v>155</v>
      </c>
      <c r="H211" t="s">
        <v>7</v>
      </c>
      <c r="I211" t="s">
        <v>3746</v>
      </c>
    </row>
    <row r="212" spans="1:9" x14ac:dyDescent="0.25">
      <c r="A212">
        <v>1821</v>
      </c>
      <c r="B212">
        <v>681</v>
      </c>
      <c r="C212" t="s">
        <v>107</v>
      </c>
      <c r="D212" t="s">
        <v>3387</v>
      </c>
      <c r="G212" t="s">
        <v>155</v>
      </c>
      <c r="H212" t="s">
        <v>7</v>
      </c>
      <c r="I212" t="s">
        <v>3783</v>
      </c>
    </row>
    <row r="213" spans="1:9" x14ac:dyDescent="0.25">
      <c r="A213">
        <v>1822</v>
      </c>
      <c r="B213">
        <v>682</v>
      </c>
      <c r="C213" t="s">
        <v>165</v>
      </c>
      <c r="D213" t="s">
        <v>3393</v>
      </c>
      <c r="G213" t="s">
        <v>155</v>
      </c>
    </row>
    <row r="214" spans="1:9" x14ac:dyDescent="0.25">
      <c r="A214">
        <v>1823</v>
      </c>
      <c r="B214">
        <v>683</v>
      </c>
      <c r="C214" t="s">
        <v>164</v>
      </c>
      <c r="D214" t="s">
        <v>163</v>
      </c>
      <c r="G214" t="s">
        <v>155</v>
      </c>
    </row>
    <row r="215" spans="1:9" x14ac:dyDescent="0.25">
      <c r="A215">
        <v>1824</v>
      </c>
      <c r="B215">
        <v>684</v>
      </c>
      <c r="C215" t="s">
        <v>465</v>
      </c>
      <c r="D215" t="s">
        <v>3393</v>
      </c>
      <c r="G215" t="s">
        <v>155</v>
      </c>
    </row>
    <row r="216" spans="1:9" x14ac:dyDescent="0.25">
      <c r="A216">
        <v>1831</v>
      </c>
      <c r="B216">
        <v>685</v>
      </c>
      <c r="C216" t="s">
        <v>37</v>
      </c>
      <c r="D216" t="s">
        <v>3747</v>
      </c>
      <c r="G216" t="s">
        <v>155</v>
      </c>
    </row>
    <row r="217" spans="1:9" x14ac:dyDescent="0.25">
      <c r="A217">
        <v>1832</v>
      </c>
      <c r="B217">
        <v>686</v>
      </c>
      <c r="C217" t="s">
        <v>19</v>
      </c>
      <c r="D217" t="s">
        <v>3426</v>
      </c>
      <c r="G217" t="s">
        <v>155</v>
      </c>
    </row>
    <row r="218" spans="1:9" x14ac:dyDescent="0.25">
      <c r="A218">
        <v>1841</v>
      </c>
      <c r="B218">
        <v>691</v>
      </c>
      <c r="C218" t="s">
        <v>3459</v>
      </c>
      <c r="D218" t="s">
        <v>157</v>
      </c>
      <c r="G218" t="s">
        <v>155</v>
      </c>
      <c r="H218" t="s">
        <v>10</v>
      </c>
      <c r="I218" t="s">
        <v>3751</v>
      </c>
    </row>
    <row r="219" spans="1:9" x14ac:dyDescent="0.25">
      <c r="A219">
        <v>1842</v>
      </c>
      <c r="B219">
        <v>692</v>
      </c>
      <c r="C219" t="s">
        <v>465</v>
      </c>
      <c r="D219" t="s">
        <v>69</v>
      </c>
      <c r="E219" t="s">
        <v>3836</v>
      </c>
    </row>
    <row r="220" spans="1:9" x14ac:dyDescent="0.25">
      <c r="A220">
        <v>1843</v>
      </c>
      <c r="B220">
        <v>693</v>
      </c>
      <c r="C220" t="s">
        <v>37</v>
      </c>
      <c r="D220" t="s">
        <v>3464</v>
      </c>
      <c r="G220" t="s">
        <v>155</v>
      </c>
      <c r="H220" t="s">
        <v>7</v>
      </c>
      <c r="I220" t="s">
        <v>162</v>
      </c>
    </row>
    <row r="221" spans="1:9" x14ac:dyDescent="0.25">
      <c r="A221">
        <v>1845</v>
      </c>
      <c r="B221">
        <v>694</v>
      </c>
      <c r="C221" t="s">
        <v>770</v>
      </c>
      <c r="D221" t="s">
        <v>3480</v>
      </c>
      <c r="G221" t="s">
        <v>155</v>
      </c>
    </row>
    <row r="222" spans="1:9" x14ac:dyDescent="0.25">
      <c r="A222">
        <v>1851</v>
      </c>
      <c r="B222">
        <v>695</v>
      </c>
      <c r="C222" t="s">
        <v>19</v>
      </c>
      <c r="D222" t="s">
        <v>161</v>
      </c>
      <c r="G222" t="s">
        <v>155</v>
      </c>
    </row>
    <row r="223" spans="1:9" x14ac:dyDescent="0.25">
      <c r="A223">
        <v>1861</v>
      </c>
      <c r="B223">
        <v>701</v>
      </c>
      <c r="C223" t="s">
        <v>3748</v>
      </c>
      <c r="D223" t="s">
        <v>160</v>
      </c>
      <c r="G223" t="s">
        <v>155</v>
      </c>
    </row>
    <row r="224" spans="1:9" x14ac:dyDescent="0.25">
      <c r="A224">
        <v>1862</v>
      </c>
      <c r="B224">
        <v>702</v>
      </c>
      <c r="C224" t="s">
        <v>3784</v>
      </c>
      <c r="D224" t="s">
        <v>75</v>
      </c>
      <c r="G224" t="s">
        <v>155</v>
      </c>
    </row>
    <row r="225" spans="1:10" x14ac:dyDescent="0.25">
      <c r="A225">
        <v>1871</v>
      </c>
      <c r="B225">
        <v>703</v>
      </c>
      <c r="C225" t="s">
        <v>37</v>
      </c>
      <c r="D225" t="s">
        <v>3785</v>
      </c>
      <c r="G225" t="s">
        <v>155</v>
      </c>
    </row>
    <row r="226" spans="1:10" x14ac:dyDescent="0.25">
      <c r="A226">
        <v>1872</v>
      </c>
      <c r="B226">
        <v>704</v>
      </c>
      <c r="C226" t="s">
        <v>107</v>
      </c>
      <c r="D226" t="s">
        <v>3530</v>
      </c>
      <c r="G226" t="s">
        <v>155</v>
      </c>
    </row>
    <row r="227" spans="1:10" x14ac:dyDescent="0.25">
      <c r="A227">
        <v>1873</v>
      </c>
      <c r="B227">
        <v>705</v>
      </c>
      <c r="C227" t="s">
        <v>465</v>
      </c>
      <c r="D227" t="s">
        <v>159</v>
      </c>
      <c r="G227" t="s">
        <v>155</v>
      </c>
    </row>
    <row r="228" spans="1:10" x14ac:dyDescent="0.25">
      <c r="A228">
        <v>1881</v>
      </c>
      <c r="B228">
        <v>711</v>
      </c>
      <c r="C228" t="s">
        <v>3787</v>
      </c>
      <c r="D228" t="s">
        <v>3788</v>
      </c>
      <c r="G228" t="s">
        <v>155</v>
      </c>
    </row>
    <row r="229" spans="1:10" x14ac:dyDescent="0.25">
      <c r="A229">
        <v>1891</v>
      </c>
      <c r="B229">
        <v>712</v>
      </c>
      <c r="C229" t="s">
        <v>158</v>
      </c>
      <c r="D229" t="s">
        <v>3786</v>
      </c>
      <c r="G229" t="s">
        <v>155</v>
      </c>
    </row>
    <row r="230" spans="1:10" x14ac:dyDescent="0.25">
      <c r="A230">
        <v>1911</v>
      </c>
      <c r="B230">
        <v>722</v>
      </c>
      <c r="C230" t="s">
        <v>13</v>
      </c>
      <c r="D230" t="s">
        <v>157</v>
      </c>
      <c r="G230" t="s">
        <v>155</v>
      </c>
      <c r="J230" s="38"/>
    </row>
    <row r="231" spans="1:10" x14ac:dyDescent="0.25">
      <c r="A231">
        <v>1921</v>
      </c>
      <c r="B231">
        <v>731</v>
      </c>
      <c r="C231" t="s">
        <v>156</v>
      </c>
      <c r="D231" t="s">
        <v>3789</v>
      </c>
      <c r="G231" t="s">
        <v>155</v>
      </c>
    </row>
    <row r="232" spans="1:10" x14ac:dyDescent="0.25">
      <c r="A232">
        <v>1922</v>
      </c>
      <c r="B232">
        <v>732</v>
      </c>
      <c r="C232" t="s">
        <v>13</v>
      </c>
      <c r="D232" t="s">
        <v>3785</v>
      </c>
      <c r="E232" t="s">
        <v>3836</v>
      </c>
      <c r="F232" t="s">
        <v>27</v>
      </c>
      <c r="G232" t="s">
        <v>3743</v>
      </c>
    </row>
    <row r="233" spans="1:10" x14ac:dyDescent="0.25">
      <c r="A233">
        <v>1923</v>
      </c>
      <c r="B233">
        <v>733</v>
      </c>
      <c r="C233" t="s">
        <v>13</v>
      </c>
      <c r="D233" t="s">
        <v>3741</v>
      </c>
      <c r="E233" t="s">
        <v>3836</v>
      </c>
    </row>
  </sheetData>
  <sortState xmlns:xlrd2="http://schemas.microsoft.com/office/spreadsheetml/2017/richdata2" ref="A2:K234">
    <sortCondition ref="A2:A234"/>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DJ241"/>
  <sheetViews>
    <sheetView tabSelected="1" topLeftCell="A118" workbookViewId="0">
      <selection activeCell="B126" sqref="B126"/>
    </sheetView>
  </sheetViews>
  <sheetFormatPr baseColWidth="10" defaultRowHeight="15" x14ac:dyDescent="0.25"/>
  <cols>
    <col min="1" max="1" width="4.85546875" customWidth="1"/>
    <col min="2" max="2" width="3.7109375" customWidth="1"/>
    <col min="3" max="3" width="19.5703125" bestFit="1" customWidth="1"/>
    <col min="4" max="4" width="20.140625" bestFit="1" customWidth="1"/>
    <col min="5" max="5" width="12.42578125" bestFit="1" customWidth="1"/>
    <col min="6" max="6" width="12.42578125" customWidth="1"/>
    <col min="7" max="7" width="15.85546875" customWidth="1"/>
    <col min="9" max="9" width="6.42578125" bestFit="1" customWidth="1"/>
    <col min="10" max="10" width="5.7109375" bestFit="1" customWidth="1"/>
    <col min="11" max="11" width="10.42578125" bestFit="1" customWidth="1"/>
    <col min="12" max="12" width="4.7109375" bestFit="1" customWidth="1"/>
    <col min="13" max="13" width="15.42578125" customWidth="1"/>
    <col min="14" max="14" width="36.7109375" bestFit="1" customWidth="1"/>
    <col min="15" max="15" width="45.7109375" bestFit="1" customWidth="1"/>
    <col min="16" max="16" width="7.5703125" customWidth="1"/>
    <col min="17" max="17" width="10.28515625" bestFit="1" customWidth="1"/>
    <col min="18" max="18" width="7.85546875" bestFit="1" customWidth="1"/>
    <col min="19" max="19" width="7.5703125" bestFit="1" customWidth="1"/>
    <col min="20" max="20" width="7.5703125" customWidth="1"/>
    <col min="21" max="21" width="23.5703125" bestFit="1" customWidth="1"/>
    <col min="22" max="22" width="24.7109375" bestFit="1" customWidth="1"/>
    <col min="23" max="23" width="7.140625" bestFit="1" customWidth="1"/>
    <col min="24" max="24" width="4.7109375" bestFit="1" customWidth="1"/>
    <col min="25" max="25" width="6.42578125" customWidth="1"/>
    <col min="26" max="27" width="8.140625" bestFit="1" customWidth="1"/>
    <col min="28" max="28" width="7" bestFit="1" customWidth="1"/>
    <col min="29" max="29" width="9.7109375" bestFit="1" customWidth="1"/>
    <col min="30" max="30" width="6.7109375" bestFit="1" customWidth="1"/>
    <col min="31" max="31" width="7.140625" bestFit="1" customWidth="1"/>
    <col min="32" max="32" width="10.7109375" bestFit="1" customWidth="1"/>
    <col min="33" max="33" width="8.85546875" bestFit="1" customWidth="1"/>
    <col min="34" max="34" width="7.85546875" customWidth="1"/>
    <col min="35" max="35" width="10.28515625" bestFit="1" customWidth="1"/>
    <col min="36" max="36" width="8.140625" bestFit="1" customWidth="1"/>
    <col min="37" max="37" width="11.5703125" bestFit="1" customWidth="1"/>
    <col min="38" max="63" width="11.5703125" customWidth="1"/>
    <col min="64" max="64" width="18" bestFit="1" customWidth="1"/>
    <col min="65" max="65" width="18" customWidth="1"/>
    <col min="66" max="66" width="18.28515625" customWidth="1"/>
    <col min="67" max="67" width="29.85546875" customWidth="1"/>
    <col min="68" max="69" width="14.42578125" customWidth="1"/>
    <col min="70" max="70" width="13.5703125" bestFit="1" customWidth="1"/>
    <col min="71" max="71" width="23.140625" customWidth="1"/>
    <col min="72" max="73" width="21.42578125" customWidth="1"/>
    <col min="74" max="74" width="23.7109375" bestFit="1" customWidth="1"/>
    <col min="75" max="77" width="22.5703125" customWidth="1"/>
    <col min="78" max="78" width="24.5703125" bestFit="1" customWidth="1"/>
    <col min="79" max="79" width="24.5703125" customWidth="1"/>
    <col min="80" max="81" width="25.5703125" customWidth="1"/>
    <col min="82" max="82" width="24.42578125" bestFit="1" customWidth="1"/>
    <col min="83" max="83" width="22.85546875" bestFit="1" customWidth="1"/>
    <col min="84" max="85" width="21.7109375" customWidth="1"/>
    <col min="86" max="86" width="25.5703125" bestFit="1" customWidth="1"/>
    <col min="87" max="88" width="25.5703125" customWidth="1"/>
    <col min="89" max="89" width="21.85546875" bestFit="1" customWidth="1"/>
    <col min="90" max="93" width="21.85546875" customWidth="1"/>
    <col min="94" max="94" width="13.5703125" customWidth="1"/>
    <col min="95" max="95" width="12" customWidth="1"/>
    <col min="96" max="96" width="30.7109375" bestFit="1" customWidth="1"/>
    <col min="97" max="97" width="20.7109375" bestFit="1" customWidth="1"/>
    <col min="98" max="98" width="14.7109375" bestFit="1" customWidth="1"/>
    <col min="99" max="99" width="15.85546875" bestFit="1" customWidth="1"/>
    <col min="100" max="100" width="5.28515625" bestFit="1" customWidth="1"/>
    <col min="101" max="101" width="20.42578125" customWidth="1"/>
    <col min="102" max="102" width="5.28515625" customWidth="1"/>
    <col min="103" max="103" width="13.5703125" bestFit="1" customWidth="1"/>
    <col min="104" max="104" width="13.7109375" bestFit="1" customWidth="1"/>
    <col min="105" max="105" width="27" bestFit="1" customWidth="1"/>
    <col min="106" max="106" width="30.85546875" customWidth="1"/>
    <col min="107" max="107" width="37.42578125" bestFit="1" customWidth="1"/>
    <col min="108" max="108" width="27" customWidth="1"/>
    <col min="109" max="109" width="29.85546875" bestFit="1" customWidth="1"/>
    <col min="110" max="110" width="27.5703125" bestFit="1" customWidth="1"/>
  </cols>
  <sheetData>
    <row r="1" spans="1:114" x14ac:dyDescent="0.25">
      <c r="A1" t="s">
        <v>280</v>
      </c>
      <c r="B1" t="s">
        <v>803</v>
      </c>
      <c r="C1" t="s">
        <v>187</v>
      </c>
      <c r="D1" t="s">
        <v>186</v>
      </c>
      <c r="E1" t="s">
        <v>184</v>
      </c>
      <c r="F1" t="s">
        <v>3910</v>
      </c>
      <c r="G1" t="s">
        <v>3911</v>
      </c>
      <c r="H1" t="s">
        <v>575</v>
      </c>
      <c r="I1" t="s">
        <v>221</v>
      </c>
      <c r="J1" t="s">
        <v>282</v>
      </c>
      <c r="K1" t="s">
        <v>194</v>
      </c>
      <c r="L1" t="s">
        <v>195</v>
      </c>
      <c r="M1" t="s">
        <v>235</v>
      </c>
      <c r="N1" t="s">
        <v>200</v>
      </c>
      <c r="O1" t="s">
        <v>202</v>
      </c>
      <c r="P1" t="s">
        <v>601</v>
      </c>
      <c r="Q1" t="s">
        <v>222</v>
      </c>
      <c r="R1" t="s">
        <v>223</v>
      </c>
      <c r="S1" t="s">
        <v>224</v>
      </c>
      <c r="T1" t="s">
        <v>2420</v>
      </c>
      <c r="U1" s="6" t="s">
        <v>270</v>
      </c>
      <c r="V1" t="s">
        <v>203</v>
      </c>
      <c r="W1" t="s">
        <v>429</v>
      </c>
      <c r="X1" t="s">
        <v>208</v>
      </c>
      <c r="Y1" t="s">
        <v>206</v>
      </c>
      <c r="Z1" t="s">
        <v>254</v>
      </c>
      <c r="AA1" t="s">
        <v>207</v>
      </c>
      <c r="AB1" t="s">
        <v>253</v>
      </c>
      <c r="AC1" t="s">
        <v>227</v>
      </c>
      <c r="AD1" t="s">
        <v>244</v>
      </c>
      <c r="AE1" t="s">
        <v>255</v>
      </c>
      <c r="AF1" t="s">
        <v>256</v>
      </c>
      <c r="AG1" t="s">
        <v>279</v>
      </c>
      <c r="AH1" t="s">
        <v>3901</v>
      </c>
      <c r="AI1" t="s">
        <v>155</v>
      </c>
      <c r="AJ1" t="s">
        <v>352</v>
      </c>
      <c r="AK1" t="s">
        <v>377</v>
      </c>
      <c r="AL1" s="2" t="s">
        <v>430</v>
      </c>
      <c r="AM1" s="5" t="s">
        <v>472</v>
      </c>
      <c r="AN1" s="5" t="s">
        <v>632</v>
      </c>
      <c r="AO1" s="2" t="s">
        <v>875</v>
      </c>
      <c r="AP1" s="2" t="s">
        <v>676</v>
      </c>
      <c r="AQ1" s="21" t="s">
        <v>876</v>
      </c>
      <c r="AR1" s="21" t="s">
        <v>969</v>
      </c>
      <c r="AS1" s="21" t="s">
        <v>1258</v>
      </c>
      <c r="AT1" s="21" t="s">
        <v>1400</v>
      </c>
      <c r="AU1" s="21" t="s">
        <v>1153</v>
      </c>
      <c r="AV1" s="21" t="s">
        <v>1518</v>
      </c>
      <c r="AW1" s="21" t="s">
        <v>1599</v>
      </c>
      <c r="AX1" s="21" t="s">
        <v>1640</v>
      </c>
      <c r="AY1" s="21" t="s">
        <v>1973</v>
      </c>
      <c r="AZ1" s="21" t="s">
        <v>3170</v>
      </c>
      <c r="BA1" s="21" t="s">
        <v>2181</v>
      </c>
      <c r="BB1" s="21" t="s">
        <v>2273</v>
      </c>
      <c r="BC1" s="25" t="s">
        <v>2335</v>
      </c>
      <c r="BD1" s="6" t="s">
        <v>3193</v>
      </c>
      <c r="BE1" s="6" t="s">
        <v>2638</v>
      </c>
      <c r="BF1" s="6" t="s">
        <v>2747</v>
      </c>
      <c r="BG1" s="6" t="s">
        <v>2984</v>
      </c>
      <c r="BH1" s="6" t="s">
        <v>3036</v>
      </c>
      <c r="BI1" s="6" t="s">
        <v>3244</v>
      </c>
      <c r="BJ1" s="6" t="s">
        <v>1603</v>
      </c>
      <c r="BK1" s="6" t="s">
        <v>3418</v>
      </c>
      <c r="BL1" t="s">
        <v>273</v>
      </c>
      <c r="BM1" s="2" t="s">
        <v>1013</v>
      </c>
      <c r="BN1" t="s">
        <v>295</v>
      </c>
      <c r="BO1" t="s">
        <v>226</v>
      </c>
      <c r="BP1" t="s">
        <v>463</v>
      </c>
      <c r="BQ1" t="s">
        <v>3562</v>
      </c>
      <c r="BR1" t="s">
        <v>239</v>
      </c>
      <c r="BS1" s="6" t="s">
        <v>798</v>
      </c>
      <c r="BT1" s="6" t="s">
        <v>877</v>
      </c>
      <c r="BU1" s="35" t="s">
        <v>3931</v>
      </c>
      <c r="BV1" t="s">
        <v>257</v>
      </c>
      <c r="BW1" s="2" t="s">
        <v>520</v>
      </c>
      <c r="BX1" s="6" t="s">
        <v>597</v>
      </c>
      <c r="BY1" s="6" t="s">
        <v>1252</v>
      </c>
      <c r="BZ1" t="s">
        <v>245</v>
      </c>
      <c r="CA1" t="s">
        <v>2786</v>
      </c>
      <c r="CB1" s="5" t="s">
        <v>1849</v>
      </c>
      <c r="CC1" s="35" t="s">
        <v>3932</v>
      </c>
      <c r="CD1" s="5" t="s">
        <v>258</v>
      </c>
      <c r="CE1" s="2" t="s">
        <v>521</v>
      </c>
      <c r="CF1" s="5" t="s">
        <v>596</v>
      </c>
      <c r="CG1" s="5" t="s">
        <v>1253</v>
      </c>
      <c r="CH1" s="5" t="s">
        <v>259</v>
      </c>
      <c r="CI1" s="5" t="s">
        <v>1660</v>
      </c>
      <c r="CJ1" s="5" t="s">
        <v>1122</v>
      </c>
      <c r="CK1" s="5" t="s">
        <v>305</v>
      </c>
      <c r="CL1" s="35" t="s">
        <v>3933</v>
      </c>
      <c r="CM1" s="1" t="s">
        <v>1643</v>
      </c>
      <c r="CN1" s="5" t="s">
        <v>2275</v>
      </c>
      <c r="CO1" s="5" t="s">
        <v>2276</v>
      </c>
      <c r="CP1" t="s">
        <v>241</v>
      </c>
      <c r="CQ1" s="1" t="s">
        <v>766</v>
      </c>
      <c r="CR1" t="s">
        <v>538</v>
      </c>
      <c r="CS1" t="s">
        <v>260</v>
      </c>
      <c r="CT1" t="s">
        <v>353</v>
      </c>
      <c r="CU1" t="s">
        <v>334</v>
      </c>
      <c r="CV1" s="2" t="s">
        <v>351</v>
      </c>
      <c r="CW1" s="35" t="s">
        <v>3963</v>
      </c>
      <c r="CX1" s="2" t="s">
        <v>1895</v>
      </c>
      <c r="CY1" t="s">
        <v>237</v>
      </c>
      <c r="CZ1" t="s">
        <v>209</v>
      </c>
      <c r="DA1" t="s">
        <v>228</v>
      </c>
      <c r="DB1" t="s">
        <v>230</v>
      </c>
      <c r="DC1" t="s">
        <v>211</v>
      </c>
      <c r="DD1" t="s">
        <v>1058</v>
      </c>
      <c r="DE1" t="s">
        <v>214</v>
      </c>
      <c r="DF1" t="s">
        <v>215</v>
      </c>
      <c r="DG1" t="s">
        <v>313</v>
      </c>
      <c r="DH1" t="s">
        <v>911</v>
      </c>
      <c r="DI1" t="s">
        <v>914</v>
      </c>
      <c r="DJ1" t="s">
        <v>3799</v>
      </c>
    </row>
    <row r="2" spans="1:114" x14ac:dyDescent="0.25">
      <c r="A2">
        <v>581</v>
      </c>
      <c r="B2" t="s">
        <v>948</v>
      </c>
      <c r="C2" t="s">
        <v>67</v>
      </c>
      <c r="D2" t="s">
        <v>66</v>
      </c>
      <c r="E2" t="s">
        <v>603</v>
      </c>
      <c r="G2" t="s">
        <v>602</v>
      </c>
      <c r="I2" t="s">
        <v>219</v>
      </c>
      <c r="J2">
        <v>1343</v>
      </c>
      <c r="K2" t="s">
        <v>249</v>
      </c>
      <c r="L2">
        <v>29</v>
      </c>
      <c r="M2" s="7" t="s">
        <v>338</v>
      </c>
      <c r="N2" t="s">
        <v>236</v>
      </c>
      <c r="O2" t="s">
        <v>201</v>
      </c>
      <c r="P2" t="s">
        <v>205</v>
      </c>
      <c r="Q2" s="19" t="s">
        <v>205</v>
      </c>
      <c r="R2" t="s">
        <v>205</v>
      </c>
      <c r="S2" t="s">
        <v>205</v>
      </c>
      <c r="T2" t="s">
        <v>225</v>
      </c>
      <c r="U2" t="s">
        <v>277</v>
      </c>
      <c r="V2" t="s">
        <v>204</v>
      </c>
      <c r="W2" t="s">
        <v>205</v>
      </c>
      <c r="X2" t="s">
        <v>205</v>
      </c>
      <c r="Y2" s="5" t="s">
        <v>205</v>
      </c>
      <c r="Z2" t="s">
        <v>225</v>
      </c>
      <c r="AA2" t="s">
        <v>205</v>
      </c>
      <c r="AB2" t="s">
        <v>225</v>
      </c>
      <c r="AC2" t="s">
        <v>205</v>
      </c>
      <c r="AD2" t="s">
        <v>205</v>
      </c>
      <c r="AE2" t="s">
        <v>225</v>
      </c>
      <c r="AF2" t="s">
        <v>225</v>
      </c>
      <c r="AG2" t="s">
        <v>205</v>
      </c>
      <c r="AH2" t="s">
        <v>225</v>
      </c>
      <c r="AI2">
        <v>1</v>
      </c>
      <c r="AJ2" t="s">
        <v>225</v>
      </c>
      <c r="AK2" t="s">
        <v>225</v>
      </c>
      <c r="AL2" t="s">
        <v>225</v>
      </c>
      <c r="AM2" t="s">
        <v>225</v>
      </c>
      <c r="AN2" t="s">
        <v>205</v>
      </c>
      <c r="AO2">
        <v>1</v>
      </c>
      <c r="AP2" t="s">
        <v>205</v>
      </c>
      <c r="AQ2" t="s">
        <v>225</v>
      </c>
      <c r="AR2" t="s">
        <v>225</v>
      </c>
      <c r="AS2" t="s">
        <v>225</v>
      </c>
      <c r="AT2" t="s">
        <v>225</v>
      </c>
      <c r="AU2" t="s">
        <v>225</v>
      </c>
      <c r="AV2" t="s">
        <v>225</v>
      </c>
      <c r="AW2" t="s">
        <v>225</v>
      </c>
      <c r="AX2" t="s">
        <v>225</v>
      </c>
      <c r="AY2" t="s">
        <v>225</v>
      </c>
      <c r="AZ2" t="s">
        <v>225</v>
      </c>
      <c r="BA2" t="s">
        <v>225</v>
      </c>
      <c r="BB2" t="s">
        <v>225</v>
      </c>
      <c r="BC2" t="s">
        <v>225</v>
      </c>
      <c r="BD2" t="s">
        <v>225</v>
      </c>
      <c r="BE2" t="s">
        <v>225</v>
      </c>
      <c r="BF2" t="s">
        <v>225</v>
      </c>
      <c r="BG2" t="s">
        <v>225</v>
      </c>
      <c r="BH2" t="s">
        <v>225</v>
      </c>
      <c r="BI2" t="s">
        <v>225</v>
      </c>
      <c r="BJ2" t="s">
        <v>225</v>
      </c>
      <c r="BK2" t="s">
        <v>225</v>
      </c>
      <c r="BL2" t="s">
        <v>205</v>
      </c>
      <c r="BN2" t="s">
        <v>677</v>
      </c>
      <c r="BO2" t="s">
        <v>666</v>
      </c>
      <c r="BQ2" t="s">
        <v>3563</v>
      </c>
      <c r="BR2">
        <v>2</v>
      </c>
      <c r="BS2">
        <v>0</v>
      </c>
      <c r="BT2">
        <v>0</v>
      </c>
      <c r="BU2" s="5">
        <f>(BS2/8+BT2/4)*39</f>
        <v>0</v>
      </c>
      <c r="BV2">
        <v>0</v>
      </c>
      <c r="BW2">
        <v>0</v>
      </c>
      <c r="BX2">
        <f>17</f>
        <v>17</v>
      </c>
      <c r="BY2">
        <v>-1</v>
      </c>
      <c r="BZ2">
        <v>0</v>
      </c>
      <c r="CA2">
        <v>0</v>
      </c>
      <c r="CB2">
        <v>0</v>
      </c>
      <c r="CC2" s="5">
        <f>(BV2+BW2/2+BX2/8+BY2/16+BZ2/4+CA2/32)*39</f>
        <v>80.4375</v>
      </c>
      <c r="CD2">
        <v>0</v>
      </c>
      <c r="CE2">
        <v>0</v>
      </c>
      <c r="CF2">
        <v>0</v>
      </c>
      <c r="CG2">
        <v>0</v>
      </c>
      <c r="CH2">
        <v>0</v>
      </c>
      <c r="CI2">
        <v>0</v>
      </c>
      <c r="CJ2">
        <v>0</v>
      </c>
      <c r="CK2">
        <v>0</v>
      </c>
      <c r="CL2" s="5">
        <f>(CD2+CE2/2+CF2/8+CG2/16+CH2/4+CJ2/32+CK2/16)*39</f>
        <v>0</v>
      </c>
      <c r="CM2">
        <v>0</v>
      </c>
      <c r="CN2">
        <v>0</v>
      </c>
      <c r="CO2">
        <v>0</v>
      </c>
      <c r="CP2">
        <v>0</v>
      </c>
      <c r="CQ2">
        <v>0</v>
      </c>
      <c r="CS2">
        <f>22+6/12</f>
        <v>22.5</v>
      </c>
      <c r="CT2">
        <v>0</v>
      </c>
      <c r="CU2">
        <v>0</v>
      </c>
      <c r="CV2">
        <v>0</v>
      </c>
      <c r="CW2">
        <f>CS2+CT2/24+CU2/48+CV2/48</f>
        <v>22.5</v>
      </c>
      <c r="CX2">
        <v>0</v>
      </c>
      <c r="CZ2" t="s">
        <v>210</v>
      </c>
      <c r="DC2" t="s">
        <v>262</v>
      </c>
      <c r="DD2" t="s">
        <v>693</v>
      </c>
      <c r="DE2" t="s">
        <v>667</v>
      </c>
      <c r="DF2" t="s">
        <v>668</v>
      </c>
      <c r="DG2" t="s">
        <v>669</v>
      </c>
    </row>
    <row r="3" spans="1:114" x14ac:dyDescent="0.25">
      <c r="A3">
        <v>1371</v>
      </c>
      <c r="B3" t="s">
        <v>1708</v>
      </c>
      <c r="C3" t="s">
        <v>11</v>
      </c>
      <c r="D3" t="s">
        <v>66</v>
      </c>
      <c r="E3" t="s">
        <v>603</v>
      </c>
      <c r="G3" t="s">
        <v>1974</v>
      </c>
      <c r="I3" t="s">
        <v>219</v>
      </c>
      <c r="J3">
        <v>1343</v>
      </c>
      <c r="K3" t="s">
        <v>1038</v>
      </c>
      <c r="L3">
        <v>26</v>
      </c>
      <c r="M3" s="8" t="s">
        <v>338</v>
      </c>
      <c r="N3" t="s">
        <v>236</v>
      </c>
      <c r="O3" t="s">
        <v>201</v>
      </c>
      <c r="P3" t="s">
        <v>225</v>
      </c>
      <c r="Q3" t="s">
        <v>205</v>
      </c>
      <c r="R3" t="s">
        <v>205</v>
      </c>
      <c r="S3" t="s">
        <v>205</v>
      </c>
      <c r="T3" t="s">
        <v>225</v>
      </c>
      <c r="U3" t="s">
        <v>277</v>
      </c>
      <c r="W3" t="s">
        <v>205</v>
      </c>
      <c r="X3">
        <v>1</v>
      </c>
      <c r="Y3" t="s">
        <v>205</v>
      </c>
      <c r="Z3" t="s">
        <v>225</v>
      </c>
      <c r="AA3" t="s">
        <v>225</v>
      </c>
      <c r="AB3" t="s">
        <v>225</v>
      </c>
      <c r="AC3">
        <v>1</v>
      </c>
      <c r="AD3">
        <v>7</v>
      </c>
      <c r="AE3" t="s">
        <v>225</v>
      </c>
      <c r="AF3" t="s">
        <v>225</v>
      </c>
      <c r="AG3" t="s">
        <v>225</v>
      </c>
      <c r="AH3" t="s">
        <v>225</v>
      </c>
      <c r="AI3" t="s">
        <v>225</v>
      </c>
      <c r="AJ3" t="s">
        <v>225</v>
      </c>
      <c r="AK3" t="s">
        <v>225</v>
      </c>
      <c r="AL3" t="s">
        <v>225</v>
      </c>
      <c r="AM3" t="s">
        <v>225</v>
      </c>
      <c r="AN3" t="s">
        <v>225</v>
      </c>
      <c r="AO3" t="s">
        <v>225</v>
      </c>
      <c r="AP3">
        <v>3</v>
      </c>
      <c r="AQ3" t="s">
        <v>225</v>
      </c>
      <c r="AR3" t="s">
        <v>225</v>
      </c>
      <c r="AS3" t="s">
        <v>225</v>
      </c>
      <c r="AT3" t="s">
        <v>225</v>
      </c>
      <c r="AU3" t="s">
        <v>225</v>
      </c>
      <c r="AV3" t="s">
        <v>225</v>
      </c>
      <c r="AW3" t="s">
        <v>225</v>
      </c>
      <c r="AX3" t="s">
        <v>225</v>
      </c>
      <c r="AY3" t="s">
        <v>225</v>
      </c>
      <c r="AZ3" t="s">
        <v>225</v>
      </c>
      <c r="BA3" t="s">
        <v>225</v>
      </c>
      <c r="BB3" t="s">
        <v>225</v>
      </c>
      <c r="BC3" t="s">
        <v>225</v>
      </c>
      <c r="BD3" t="s">
        <v>225</v>
      </c>
      <c r="BE3" t="s">
        <v>225</v>
      </c>
      <c r="BF3" t="s">
        <v>225</v>
      </c>
      <c r="BG3" t="s">
        <v>225</v>
      </c>
      <c r="BH3" t="s">
        <v>225</v>
      </c>
      <c r="BI3" t="s">
        <v>225</v>
      </c>
      <c r="BJ3" t="s">
        <v>225</v>
      </c>
      <c r="BK3" t="s">
        <v>225</v>
      </c>
      <c r="BL3" t="s">
        <v>225</v>
      </c>
      <c r="BM3" t="s">
        <v>2015</v>
      </c>
      <c r="BN3" s="5" t="s">
        <v>2014</v>
      </c>
      <c r="BQ3" t="s">
        <v>3563</v>
      </c>
      <c r="BR3" s="5">
        <v>0</v>
      </c>
      <c r="BS3" s="5">
        <v>0</v>
      </c>
      <c r="BT3" s="5">
        <v>0</v>
      </c>
      <c r="BU3" s="5">
        <f>(BS3/8+BT3/4)*39</f>
        <v>0</v>
      </c>
      <c r="BV3" s="5">
        <v>0</v>
      </c>
      <c r="BW3" s="5">
        <v>0</v>
      </c>
      <c r="BX3" s="5">
        <v>10</v>
      </c>
      <c r="BY3" s="5">
        <v>1</v>
      </c>
      <c r="BZ3" s="5">
        <v>0</v>
      </c>
      <c r="CA3" s="5">
        <v>0</v>
      </c>
      <c r="CB3" s="5">
        <v>0</v>
      </c>
      <c r="CC3" s="5">
        <f>(BV3+BW3/2+BX3/8+BY3/16+BZ3/4+CA3/32)*39</f>
        <v>51.1875</v>
      </c>
      <c r="CD3" s="5">
        <v>0</v>
      </c>
      <c r="CE3" s="5">
        <v>0</v>
      </c>
      <c r="CF3" s="5">
        <v>0</v>
      </c>
      <c r="CG3" s="5">
        <v>0</v>
      </c>
      <c r="CH3" s="5">
        <v>0</v>
      </c>
      <c r="CI3" s="5">
        <v>0</v>
      </c>
      <c r="CJ3" s="5">
        <v>0</v>
      </c>
      <c r="CK3" s="5">
        <v>0</v>
      </c>
      <c r="CL3" s="5">
        <f>(CD3+CE3/2+CF3/8+CG3/16+CH3/4+CJ3/32+CK3/16)*39</f>
        <v>0</v>
      </c>
      <c r="CM3" s="5">
        <v>0</v>
      </c>
      <c r="CN3" s="5">
        <v>0</v>
      </c>
      <c r="CO3" s="5">
        <v>0</v>
      </c>
      <c r="CP3" s="5">
        <v>0</v>
      </c>
      <c r="CQ3" s="5">
        <v>0</v>
      </c>
      <c r="CS3">
        <v>0</v>
      </c>
      <c r="CT3">
        <v>0</v>
      </c>
      <c r="CU3">
        <v>0</v>
      </c>
      <c r="CV3">
        <v>0</v>
      </c>
      <c r="CW3">
        <f>CS3+CT3/24+CU3/48+CV3/48</f>
        <v>0</v>
      </c>
      <c r="CX3">
        <v>0</v>
      </c>
      <c r="DD3" t="s">
        <v>693</v>
      </c>
      <c r="DJ3" t="s">
        <v>483</v>
      </c>
    </row>
    <row r="4" spans="1:114" x14ac:dyDescent="0.25">
      <c r="A4">
        <v>1631</v>
      </c>
      <c r="C4" t="s">
        <v>32</v>
      </c>
      <c r="D4" t="s">
        <v>2884</v>
      </c>
      <c r="E4" t="s">
        <v>1914</v>
      </c>
      <c r="H4" t="s">
        <v>2886</v>
      </c>
      <c r="I4" t="s">
        <v>219</v>
      </c>
      <c r="J4" s="5">
        <v>1343</v>
      </c>
      <c r="K4" t="s">
        <v>249</v>
      </c>
      <c r="L4">
        <v>4</v>
      </c>
      <c r="M4" s="8" t="s">
        <v>338</v>
      </c>
      <c r="N4" t="s">
        <v>986</v>
      </c>
      <c r="V4" t="s">
        <v>1463</v>
      </c>
      <c r="W4" t="s">
        <v>225</v>
      </c>
      <c r="X4" t="s">
        <v>225</v>
      </c>
      <c r="Y4">
        <f>2+3/2</f>
        <v>3.5</v>
      </c>
      <c r="Z4" t="s">
        <v>225</v>
      </c>
      <c r="AA4" t="s">
        <v>225</v>
      </c>
      <c r="AB4" t="s">
        <v>225</v>
      </c>
      <c r="AC4" t="s">
        <v>225</v>
      </c>
      <c r="AD4" t="s">
        <v>205</v>
      </c>
      <c r="AE4" t="s">
        <v>225</v>
      </c>
      <c r="AF4" t="s">
        <v>225</v>
      </c>
      <c r="AG4" t="s">
        <v>225</v>
      </c>
      <c r="AH4" t="s">
        <v>225</v>
      </c>
      <c r="AI4" t="s">
        <v>225</v>
      </c>
      <c r="AJ4" t="s">
        <v>225</v>
      </c>
      <c r="AK4" t="s">
        <v>225</v>
      </c>
      <c r="AL4" t="s">
        <v>225</v>
      </c>
      <c r="AM4" t="s">
        <v>225</v>
      </c>
      <c r="AN4" t="s">
        <v>225</v>
      </c>
      <c r="AO4" t="s">
        <v>225</v>
      </c>
      <c r="AP4">
        <f>1/2</f>
        <v>0.5</v>
      </c>
      <c r="AQ4" t="s">
        <v>225</v>
      </c>
      <c r="AR4" t="s">
        <v>225</v>
      </c>
      <c r="AS4" t="s">
        <v>225</v>
      </c>
      <c r="AT4" t="s">
        <v>225</v>
      </c>
      <c r="AU4" t="s">
        <v>225</v>
      </c>
      <c r="AV4" t="s">
        <v>225</v>
      </c>
      <c r="AW4" t="s">
        <v>225</v>
      </c>
      <c r="AX4" t="s">
        <v>225</v>
      </c>
      <c r="AY4" t="s">
        <v>225</v>
      </c>
      <c r="AZ4" t="s">
        <v>225</v>
      </c>
      <c r="BA4" t="s">
        <v>225</v>
      </c>
      <c r="BB4" t="s">
        <v>225</v>
      </c>
      <c r="BC4" t="s">
        <v>225</v>
      </c>
      <c r="BD4" t="s">
        <v>225</v>
      </c>
      <c r="BE4" t="s">
        <v>225</v>
      </c>
      <c r="BF4" t="s">
        <v>225</v>
      </c>
      <c r="BG4" t="s">
        <v>225</v>
      </c>
      <c r="BH4" t="s">
        <v>225</v>
      </c>
      <c r="BI4" t="s">
        <v>225</v>
      </c>
      <c r="BJ4" t="s">
        <v>225</v>
      </c>
      <c r="BK4" t="s">
        <v>225</v>
      </c>
      <c r="BL4" t="s">
        <v>225</v>
      </c>
      <c r="BN4" t="s">
        <v>2905</v>
      </c>
      <c r="BP4" t="s">
        <v>559</v>
      </c>
      <c r="BQ4" t="s">
        <v>539</v>
      </c>
      <c r="BR4" s="5">
        <v>0</v>
      </c>
      <c r="BS4" s="5">
        <v>0</v>
      </c>
      <c r="BT4" s="5">
        <v>0</v>
      </c>
      <c r="BU4" s="5">
        <f>(BS4/8+BT4/4)*39</f>
        <v>0</v>
      </c>
      <c r="BV4" s="5">
        <v>0</v>
      </c>
      <c r="BW4" s="5">
        <v>0</v>
      </c>
      <c r="BX4" s="5">
        <v>1</v>
      </c>
      <c r="BY4" s="5">
        <v>0</v>
      </c>
      <c r="BZ4" s="5">
        <v>0</v>
      </c>
      <c r="CA4" s="5">
        <v>0</v>
      </c>
      <c r="CB4" s="5">
        <v>0</v>
      </c>
      <c r="CC4" s="5">
        <f>(BV4+BW4/2+BX4/8+BY4/16+BZ4/4+CA4/32)*39</f>
        <v>4.875</v>
      </c>
      <c r="CD4" s="5">
        <v>0</v>
      </c>
      <c r="CE4" s="5">
        <v>0</v>
      </c>
      <c r="CF4" s="5">
        <v>0</v>
      </c>
      <c r="CG4" s="5">
        <v>0</v>
      </c>
      <c r="CH4" s="5">
        <v>0</v>
      </c>
      <c r="CI4" s="5">
        <v>0</v>
      </c>
      <c r="CJ4" s="5">
        <v>0</v>
      </c>
      <c r="CK4" s="5">
        <v>0</v>
      </c>
      <c r="CL4" s="5">
        <f>(CD4+CE4/2+CF4/8+CG4/16+CH4/4+CJ4/32+CK4/16)*39</f>
        <v>0</v>
      </c>
      <c r="CM4" s="5">
        <v>0</v>
      </c>
      <c r="CN4" s="5">
        <v>0</v>
      </c>
      <c r="CO4" s="5">
        <v>0</v>
      </c>
      <c r="CP4" s="5">
        <v>0</v>
      </c>
      <c r="CQ4" s="5">
        <v>0</v>
      </c>
      <c r="CS4">
        <f>12/12</f>
        <v>1</v>
      </c>
      <c r="CT4">
        <v>0</v>
      </c>
      <c r="CU4">
        <v>0</v>
      </c>
      <c r="CV4">
        <v>0</v>
      </c>
      <c r="CW4">
        <f>CS4+CT4/24+CU4/48+CV4/48</f>
        <v>1</v>
      </c>
      <c r="CX4">
        <v>0</v>
      </c>
      <c r="CZ4" t="s">
        <v>210</v>
      </c>
      <c r="DA4" t="s">
        <v>1733</v>
      </c>
      <c r="DB4" t="s">
        <v>2801</v>
      </c>
      <c r="DC4" t="s">
        <v>262</v>
      </c>
      <c r="DD4" t="s">
        <v>693</v>
      </c>
      <c r="DE4" t="s">
        <v>1230</v>
      </c>
      <c r="DF4" t="s">
        <v>2906</v>
      </c>
      <c r="DG4" t="s">
        <v>2907</v>
      </c>
    </row>
    <row r="5" spans="1:114" x14ac:dyDescent="0.25">
      <c r="A5">
        <v>1773</v>
      </c>
      <c r="C5" t="s">
        <v>23</v>
      </c>
      <c r="D5" t="s">
        <v>3243</v>
      </c>
      <c r="E5" t="s">
        <v>115</v>
      </c>
      <c r="I5" t="s">
        <v>219</v>
      </c>
      <c r="J5" s="5">
        <v>1343</v>
      </c>
      <c r="K5" t="s">
        <v>1097</v>
      </c>
      <c r="L5">
        <v>8</v>
      </c>
      <c r="M5" s="7" t="s">
        <v>338</v>
      </c>
      <c r="W5" t="s">
        <v>225</v>
      </c>
      <c r="X5" t="s">
        <v>225</v>
      </c>
      <c r="Y5" t="s">
        <v>225</v>
      </c>
      <c r="Z5" t="s">
        <v>225</v>
      </c>
      <c r="AA5" t="s">
        <v>225</v>
      </c>
      <c r="AB5" t="s">
        <v>225</v>
      </c>
      <c r="AC5" t="s">
        <v>225</v>
      </c>
      <c r="AD5" t="s">
        <v>225</v>
      </c>
      <c r="AE5" t="s">
        <v>225</v>
      </c>
      <c r="AF5" t="s">
        <v>225</v>
      </c>
      <c r="AG5" t="s">
        <v>225</v>
      </c>
      <c r="AH5" t="s">
        <v>225</v>
      </c>
      <c r="AI5" t="s">
        <v>225</v>
      </c>
      <c r="AJ5" t="s">
        <v>225</v>
      </c>
      <c r="AK5" t="s">
        <v>205</v>
      </c>
      <c r="AL5" t="s">
        <v>225</v>
      </c>
      <c r="AM5" t="s">
        <v>225</v>
      </c>
      <c r="AN5" t="s">
        <v>225</v>
      </c>
      <c r="AO5" t="s">
        <v>225</v>
      </c>
      <c r="AP5" t="s">
        <v>225</v>
      </c>
      <c r="AQ5" t="s">
        <v>225</v>
      </c>
      <c r="AR5" t="s">
        <v>225</v>
      </c>
      <c r="AS5" t="s">
        <v>225</v>
      </c>
      <c r="AT5" t="s">
        <v>225</v>
      </c>
      <c r="AU5" t="s">
        <v>225</v>
      </c>
      <c r="AV5" t="s">
        <v>225</v>
      </c>
      <c r="AW5" t="s">
        <v>225</v>
      </c>
      <c r="AX5" t="s">
        <v>225</v>
      </c>
      <c r="AY5" t="s">
        <v>225</v>
      </c>
      <c r="AZ5" t="s">
        <v>225</v>
      </c>
      <c r="BA5" t="s">
        <v>225</v>
      </c>
      <c r="BB5" t="s">
        <v>225</v>
      </c>
      <c r="BC5" t="s">
        <v>225</v>
      </c>
      <c r="BD5" t="s">
        <v>205</v>
      </c>
      <c r="BE5" t="s">
        <v>225</v>
      </c>
      <c r="BF5" t="s">
        <v>225</v>
      </c>
      <c r="BG5" t="s">
        <v>225</v>
      </c>
      <c r="BH5" t="s">
        <v>225</v>
      </c>
      <c r="BI5" t="s">
        <v>205</v>
      </c>
      <c r="BJ5" t="s">
        <v>225</v>
      </c>
      <c r="BK5" t="s">
        <v>225</v>
      </c>
      <c r="BL5" t="s">
        <v>225</v>
      </c>
      <c r="BN5" t="s">
        <v>3245</v>
      </c>
      <c r="BQ5" t="s">
        <v>539</v>
      </c>
      <c r="BR5" s="5">
        <v>0</v>
      </c>
      <c r="BS5" s="5">
        <v>0</v>
      </c>
      <c r="BT5" s="5">
        <v>0</v>
      </c>
      <c r="BU5" s="5">
        <f>(BS5/8+BT5/4)*39</f>
        <v>0</v>
      </c>
      <c r="BV5" s="5">
        <v>0</v>
      </c>
      <c r="BW5" s="5">
        <v>0</v>
      </c>
      <c r="BX5" s="5">
        <v>0</v>
      </c>
      <c r="BY5" s="5">
        <v>0</v>
      </c>
      <c r="BZ5" s="5">
        <v>0</v>
      </c>
      <c r="CA5" s="5">
        <v>0</v>
      </c>
      <c r="CB5" s="5">
        <v>0</v>
      </c>
      <c r="CC5" s="5">
        <f>(BV5+BW5/2+BX5/8+BY5/16+BZ5/4+CA5/32)*39</f>
        <v>0</v>
      </c>
      <c r="CD5" s="5">
        <v>0</v>
      </c>
      <c r="CE5" s="5">
        <v>0</v>
      </c>
      <c r="CF5" s="5">
        <f>1/2+1/2</f>
        <v>1</v>
      </c>
      <c r="CG5" s="5">
        <v>0</v>
      </c>
      <c r="CH5" s="5">
        <v>0</v>
      </c>
      <c r="CI5" s="5">
        <v>0</v>
      </c>
      <c r="CJ5" s="5">
        <v>0</v>
      </c>
      <c r="CK5" s="5">
        <v>0</v>
      </c>
      <c r="CL5" s="5">
        <f>(CD5+CE5/2+CF5/8+CG5/16+CH5/4+CJ5/32+CK5/16)*39</f>
        <v>4.875</v>
      </c>
      <c r="CM5" s="5">
        <v>0</v>
      </c>
      <c r="CN5" s="5">
        <v>0</v>
      </c>
      <c r="CO5" s="5">
        <v>0</v>
      </c>
      <c r="CP5" s="5">
        <v>0</v>
      </c>
      <c r="CQ5" s="5">
        <v>0</v>
      </c>
      <c r="CS5">
        <v>0</v>
      </c>
      <c r="CT5">
        <v>0</v>
      </c>
      <c r="CU5">
        <v>0</v>
      </c>
      <c r="CV5">
        <v>0</v>
      </c>
      <c r="CW5">
        <f>CS5+CT5/24+CU5/48+CV5/48</f>
        <v>0</v>
      </c>
      <c r="CX5">
        <v>0</v>
      </c>
      <c r="CZ5" t="s">
        <v>210</v>
      </c>
      <c r="DC5" t="s">
        <v>3241</v>
      </c>
      <c r="DD5" t="s">
        <v>693</v>
      </c>
      <c r="DE5" t="s">
        <v>3247</v>
      </c>
      <c r="DF5" t="s">
        <v>3248</v>
      </c>
      <c r="DG5" t="s">
        <v>3249</v>
      </c>
    </row>
    <row r="6" spans="1:114" x14ac:dyDescent="0.25">
      <c r="A6">
        <v>1541</v>
      </c>
      <c r="C6" t="s">
        <v>23</v>
      </c>
      <c r="D6" t="s">
        <v>2631</v>
      </c>
      <c r="E6" t="s">
        <v>2653</v>
      </c>
      <c r="F6" t="s">
        <v>2654</v>
      </c>
      <c r="I6" t="s">
        <v>219</v>
      </c>
      <c r="J6" s="5">
        <v>1343</v>
      </c>
      <c r="K6" t="s">
        <v>817</v>
      </c>
      <c r="L6">
        <v>17</v>
      </c>
      <c r="M6" s="8" t="s">
        <v>338</v>
      </c>
      <c r="N6" t="s">
        <v>236</v>
      </c>
      <c r="P6" t="s">
        <v>225</v>
      </c>
      <c r="Q6" t="s">
        <v>205</v>
      </c>
      <c r="R6" t="s">
        <v>205</v>
      </c>
      <c r="S6" t="s">
        <v>205</v>
      </c>
      <c r="T6" t="s">
        <v>225</v>
      </c>
      <c r="U6" t="s">
        <v>277</v>
      </c>
      <c r="V6" t="s">
        <v>1463</v>
      </c>
      <c r="W6">
        <v>1</v>
      </c>
      <c r="X6">
        <v>1</v>
      </c>
      <c r="Y6">
        <v>2</v>
      </c>
      <c r="Z6" t="s">
        <v>225</v>
      </c>
      <c r="AA6" t="s">
        <v>225</v>
      </c>
      <c r="AB6" t="s">
        <v>225</v>
      </c>
      <c r="AC6" t="s">
        <v>225</v>
      </c>
      <c r="AD6">
        <v>1</v>
      </c>
      <c r="AE6" t="s">
        <v>225</v>
      </c>
      <c r="AF6" t="s">
        <v>225</v>
      </c>
      <c r="AG6" t="s">
        <v>225</v>
      </c>
      <c r="AH6" t="s">
        <v>225</v>
      </c>
      <c r="AI6" t="s">
        <v>225</v>
      </c>
      <c r="AJ6" t="s">
        <v>225</v>
      </c>
      <c r="AK6" t="s">
        <v>225</v>
      </c>
      <c r="AL6" t="s">
        <v>225</v>
      </c>
      <c r="AM6" t="s">
        <v>225</v>
      </c>
      <c r="AN6" t="s">
        <v>225</v>
      </c>
      <c r="AO6" t="s">
        <v>225</v>
      </c>
      <c r="AP6" t="s">
        <v>225</v>
      </c>
      <c r="AQ6" t="s">
        <v>225</v>
      </c>
      <c r="AR6" t="s">
        <v>225</v>
      </c>
      <c r="AS6" t="s">
        <v>225</v>
      </c>
      <c r="AT6" t="s">
        <v>225</v>
      </c>
      <c r="AU6" t="s">
        <v>225</v>
      </c>
      <c r="AV6" t="s">
        <v>225</v>
      </c>
      <c r="AW6" t="s">
        <v>225</v>
      </c>
      <c r="AX6" t="s">
        <v>225</v>
      </c>
      <c r="AY6" t="s">
        <v>225</v>
      </c>
      <c r="AZ6" t="s">
        <v>225</v>
      </c>
      <c r="BA6" t="s">
        <v>225</v>
      </c>
      <c r="BB6" t="s">
        <v>225</v>
      </c>
      <c r="BC6" t="s">
        <v>225</v>
      </c>
      <c r="BD6" t="s">
        <v>225</v>
      </c>
      <c r="BE6">
        <v>1</v>
      </c>
      <c r="BF6" t="s">
        <v>225</v>
      </c>
      <c r="BG6" t="s">
        <v>225</v>
      </c>
      <c r="BH6" t="s">
        <v>225</v>
      </c>
      <c r="BI6" t="s">
        <v>225</v>
      </c>
      <c r="BJ6" t="s">
        <v>225</v>
      </c>
      <c r="BK6" t="s">
        <v>225</v>
      </c>
      <c r="BL6" t="s">
        <v>225</v>
      </c>
      <c r="BN6" t="s">
        <v>2647</v>
      </c>
      <c r="BQ6" t="s">
        <v>539</v>
      </c>
      <c r="BR6" s="5">
        <v>1</v>
      </c>
      <c r="BS6" s="5">
        <v>0</v>
      </c>
      <c r="BT6" s="5">
        <v>0</v>
      </c>
      <c r="BU6" s="5">
        <f>(BS6/8+BT6/4)*39</f>
        <v>0</v>
      </c>
      <c r="BV6" s="5">
        <v>0</v>
      </c>
      <c r="BW6" s="5">
        <v>1</v>
      </c>
      <c r="BX6" s="5">
        <v>0</v>
      </c>
      <c r="BY6" s="5">
        <v>0</v>
      </c>
      <c r="BZ6" s="5">
        <v>0</v>
      </c>
      <c r="CA6" s="5">
        <v>0</v>
      </c>
      <c r="CB6" s="5">
        <v>0</v>
      </c>
      <c r="CC6" s="5">
        <f>(BV6+BW6/2+BX6/8+BY6/16+BZ6/4+CA6/32)*39</f>
        <v>19.5</v>
      </c>
      <c r="CD6" s="5">
        <v>0</v>
      </c>
      <c r="CE6" s="5">
        <v>1</v>
      </c>
      <c r="CF6" s="5">
        <f>1/3</f>
        <v>0.33333333333333331</v>
      </c>
      <c r="CG6" s="5">
        <v>0</v>
      </c>
      <c r="CH6" s="5">
        <v>0</v>
      </c>
      <c r="CI6" s="5">
        <v>0</v>
      </c>
      <c r="CJ6" s="5">
        <v>0</v>
      </c>
      <c r="CK6" s="5">
        <v>0</v>
      </c>
      <c r="CL6" s="5">
        <f>(CD6+CE6/2+CF6/8+CG6/16+CH6/4+CJ6/32+CK6/16)*39</f>
        <v>21.125</v>
      </c>
      <c r="CM6" s="5">
        <v>0</v>
      </c>
      <c r="CN6" s="5">
        <v>0</v>
      </c>
      <c r="CO6" s="5">
        <v>0</v>
      </c>
      <c r="CP6" s="5">
        <v>0</v>
      </c>
      <c r="CQ6" s="5">
        <v>0</v>
      </c>
      <c r="CR6" t="s">
        <v>2648</v>
      </c>
      <c r="CS6">
        <f>8/12+4/12</f>
        <v>1</v>
      </c>
      <c r="CT6">
        <v>0</v>
      </c>
      <c r="CU6">
        <v>0</v>
      </c>
      <c r="CV6">
        <v>0</v>
      </c>
      <c r="CW6">
        <f>CS6+CT6/24+CU6/48+CV6/48</f>
        <v>1</v>
      </c>
      <c r="CX6">
        <v>0</v>
      </c>
      <c r="CZ6" t="s">
        <v>210</v>
      </c>
      <c r="DC6" t="s">
        <v>2649</v>
      </c>
      <c r="DD6" t="s">
        <v>693</v>
      </c>
      <c r="DE6" t="s">
        <v>2622</v>
      </c>
      <c r="DF6" t="s">
        <v>2650</v>
      </c>
      <c r="DG6" t="s">
        <v>2651</v>
      </c>
    </row>
    <row r="7" spans="1:114" x14ac:dyDescent="0.25">
      <c r="A7">
        <v>1542</v>
      </c>
      <c r="C7" t="s">
        <v>23</v>
      </c>
      <c r="D7" t="s">
        <v>2631</v>
      </c>
      <c r="E7" t="s">
        <v>2653</v>
      </c>
      <c r="F7" t="s">
        <v>2654</v>
      </c>
      <c r="I7" t="s">
        <v>219</v>
      </c>
      <c r="J7" s="5">
        <v>1343</v>
      </c>
      <c r="K7" t="s">
        <v>1097</v>
      </c>
      <c r="L7" s="5">
        <v>27</v>
      </c>
      <c r="M7" s="7" t="s">
        <v>338</v>
      </c>
      <c r="W7" t="s">
        <v>225</v>
      </c>
      <c r="X7" t="s">
        <v>225</v>
      </c>
      <c r="Y7" t="s">
        <v>225</v>
      </c>
      <c r="Z7" t="s">
        <v>225</v>
      </c>
      <c r="AA7" t="s">
        <v>225</v>
      </c>
      <c r="AB7" t="s">
        <v>225</v>
      </c>
      <c r="AC7" t="s">
        <v>225</v>
      </c>
      <c r="AD7" t="s">
        <v>225</v>
      </c>
      <c r="AE7" t="s">
        <v>225</v>
      </c>
      <c r="AF7" t="s">
        <v>225</v>
      </c>
      <c r="AG7" t="s">
        <v>225</v>
      </c>
      <c r="AH7" t="s">
        <v>225</v>
      </c>
      <c r="AI7" t="s">
        <v>225</v>
      </c>
      <c r="AJ7" t="s">
        <v>225</v>
      </c>
      <c r="AK7" t="s">
        <v>225</v>
      </c>
      <c r="AL7" t="s">
        <v>225</v>
      </c>
      <c r="AM7" t="s">
        <v>225</v>
      </c>
      <c r="AN7" t="s">
        <v>225</v>
      </c>
      <c r="AO7" t="s">
        <v>225</v>
      </c>
      <c r="AP7" t="s">
        <v>225</v>
      </c>
      <c r="AQ7" t="s">
        <v>225</v>
      </c>
      <c r="AR7" t="s">
        <v>225</v>
      </c>
      <c r="AS7" t="s">
        <v>205</v>
      </c>
      <c r="AT7" t="s">
        <v>225</v>
      </c>
      <c r="AU7" t="s">
        <v>225</v>
      </c>
      <c r="AV7" t="s">
        <v>225</v>
      </c>
      <c r="AW7" t="s">
        <v>225</v>
      </c>
      <c r="AX7" t="s">
        <v>225</v>
      </c>
      <c r="AY7" t="s">
        <v>225</v>
      </c>
      <c r="AZ7" t="s">
        <v>225</v>
      </c>
      <c r="BA7" t="s">
        <v>225</v>
      </c>
      <c r="BB7" t="s">
        <v>225</v>
      </c>
      <c r="BC7" t="s">
        <v>225</v>
      </c>
      <c r="BD7" t="s">
        <v>225</v>
      </c>
      <c r="BE7" t="s">
        <v>225</v>
      </c>
      <c r="BF7" t="s">
        <v>225</v>
      </c>
      <c r="BG7" t="s">
        <v>225</v>
      </c>
      <c r="BH7" t="s">
        <v>225</v>
      </c>
      <c r="BI7" t="s">
        <v>225</v>
      </c>
      <c r="BJ7" t="s">
        <v>225</v>
      </c>
      <c r="BK7" t="s">
        <v>225</v>
      </c>
      <c r="BL7" t="s">
        <v>225</v>
      </c>
      <c r="BN7" t="s">
        <v>2655</v>
      </c>
      <c r="BR7" s="5">
        <v>0</v>
      </c>
      <c r="BS7" s="5">
        <v>0</v>
      </c>
      <c r="BT7" s="5">
        <v>0</v>
      </c>
      <c r="BU7" s="5">
        <f>(BS7/8+BT7/4)*39</f>
        <v>0</v>
      </c>
      <c r="BV7" s="5">
        <v>0</v>
      </c>
      <c r="BW7" s="5">
        <v>0</v>
      </c>
      <c r="BX7" s="5">
        <v>0</v>
      </c>
      <c r="BY7" s="5">
        <v>0</v>
      </c>
      <c r="BZ7" s="5">
        <v>0</v>
      </c>
      <c r="CA7" s="5">
        <v>0</v>
      </c>
      <c r="CB7" s="5">
        <v>0</v>
      </c>
      <c r="CC7" s="5">
        <f>(BV7+BW7/2+BX7/8+BY7/16+BZ7/4+CA7/32)*39</f>
        <v>0</v>
      </c>
      <c r="CD7" s="5">
        <v>0</v>
      </c>
      <c r="CE7" s="5">
        <v>0</v>
      </c>
      <c r="CF7" s="5">
        <v>0</v>
      </c>
      <c r="CG7" s="5">
        <v>0</v>
      </c>
      <c r="CH7" s="5">
        <v>0</v>
      </c>
      <c r="CI7" s="5">
        <v>0</v>
      </c>
      <c r="CJ7" s="5">
        <v>0</v>
      </c>
      <c r="CK7" s="5">
        <v>0</v>
      </c>
      <c r="CL7" s="5">
        <f>(CD7+CE7/2+CF7/8+CG7/16+CH7/4+CJ7/32+CK7/16)*39</f>
        <v>0</v>
      </c>
      <c r="CM7" s="5">
        <v>0</v>
      </c>
      <c r="CN7" s="5">
        <v>0</v>
      </c>
      <c r="CO7" s="5">
        <v>0</v>
      </c>
      <c r="CP7" s="5">
        <v>0</v>
      </c>
      <c r="CQ7" s="5">
        <v>0</v>
      </c>
      <c r="CR7" t="s">
        <v>2655</v>
      </c>
      <c r="CS7">
        <f>4/12</f>
        <v>0.33333333333333331</v>
      </c>
      <c r="CT7">
        <v>0</v>
      </c>
      <c r="CU7">
        <v>0</v>
      </c>
      <c r="CV7">
        <v>0</v>
      </c>
      <c r="CW7">
        <f>CS7+CT7/24+CU7/48+CV7/48</f>
        <v>0.33333333333333331</v>
      </c>
      <c r="CX7">
        <v>0</v>
      </c>
      <c r="CZ7" t="s">
        <v>210</v>
      </c>
      <c r="DC7" s="5" t="s">
        <v>1113</v>
      </c>
      <c r="DD7" t="s">
        <v>693</v>
      </c>
      <c r="DE7" t="s">
        <v>2659</v>
      </c>
      <c r="DF7" t="s">
        <v>1114</v>
      </c>
    </row>
    <row r="8" spans="1:114" x14ac:dyDescent="0.25">
      <c r="A8">
        <v>1831</v>
      </c>
      <c r="B8" t="s">
        <v>788</v>
      </c>
      <c r="C8" t="s">
        <v>37</v>
      </c>
      <c r="D8" t="s">
        <v>3414</v>
      </c>
      <c r="E8" t="s">
        <v>2653</v>
      </c>
      <c r="I8" t="s">
        <v>220</v>
      </c>
      <c r="J8" s="5">
        <v>1344</v>
      </c>
      <c r="K8" s="5" t="s">
        <v>817</v>
      </c>
      <c r="L8" s="6">
        <v>15</v>
      </c>
      <c r="M8" s="7" t="s">
        <v>338</v>
      </c>
      <c r="N8" t="s">
        <v>3415</v>
      </c>
      <c r="P8" t="s">
        <v>225</v>
      </c>
      <c r="Q8" t="s">
        <v>205</v>
      </c>
      <c r="R8" t="s">
        <v>205</v>
      </c>
      <c r="S8" t="s">
        <v>205</v>
      </c>
      <c r="T8" t="s">
        <v>225</v>
      </c>
      <c r="V8" t="s">
        <v>1463</v>
      </c>
      <c r="W8" t="s">
        <v>225</v>
      </c>
      <c r="X8" t="s">
        <v>225</v>
      </c>
      <c r="Y8">
        <v>1</v>
      </c>
      <c r="Z8" t="s">
        <v>225</v>
      </c>
      <c r="AA8" t="s">
        <v>225</v>
      </c>
      <c r="AB8" t="s">
        <v>225</v>
      </c>
      <c r="AC8" t="s">
        <v>225</v>
      </c>
      <c r="AD8" t="s">
        <v>225</v>
      </c>
      <c r="AE8" t="s">
        <v>225</v>
      </c>
      <c r="AF8" t="s">
        <v>225</v>
      </c>
      <c r="AG8" t="s">
        <v>225</v>
      </c>
      <c r="AH8" t="s">
        <v>225</v>
      </c>
      <c r="AI8" t="s">
        <v>225</v>
      </c>
      <c r="AJ8">
        <v>1</v>
      </c>
      <c r="AK8" t="s">
        <v>225</v>
      </c>
      <c r="AL8" t="s">
        <v>225</v>
      </c>
      <c r="AM8" t="s">
        <v>225</v>
      </c>
      <c r="AN8" t="s">
        <v>225</v>
      </c>
      <c r="AO8" t="s">
        <v>225</v>
      </c>
      <c r="AP8" t="s">
        <v>225</v>
      </c>
      <c r="AQ8" t="s">
        <v>225</v>
      </c>
      <c r="AR8" t="s">
        <v>225</v>
      </c>
      <c r="AS8" t="s">
        <v>225</v>
      </c>
      <c r="AT8" t="s">
        <v>225</v>
      </c>
      <c r="AU8" t="s">
        <v>225</v>
      </c>
      <c r="AV8" t="s">
        <v>225</v>
      </c>
      <c r="AW8" t="s">
        <v>225</v>
      </c>
      <c r="AX8" t="s">
        <v>225</v>
      </c>
      <c r="AY8" t="s">
        <v>225</v>
      </c>
      <c r="AZ8" t="s">
        <v>225</v>
      </c>
      <c r="BA8" t="s">
        <v>225</v>
      </c>
      <c r="BB8" t="s">
        <v>225</v>
      </c>
      <c r="BC8" t="s">
        <v>225</v>
      </c>
      <c r="BD8" t="s">
        <v>225</v>
      </c>
      <c r="BE8" t="s">
        <v>225</v>
      </c>
      <c r="BF8" t="s">
        <v>225</v>
      </c>
      <c r="BG8" t="s">
        <v>225</v>
      </c>
      <c r="BH8" t="s">
        <v>225</v>
      </c>
      <c r="BI8" t="s">
        <v>225</v>
      </c>
      <c r="BJ8" t="s">
        <v>225</v>
      </c>
      <c r="BK8">
        <v>1</v>
      </c>
      <c r="BL8" t="s">
        <v>225</v>
      </c>
      <c r="BN8" t="s">
        <v>3421</v>
      </c>
      <c r="BQ8" t="s">
        <v>539</v>
      </c>
      <c r="BR8" s="5">
        <v>0</v>
      </c>
      <c r="BS8" s="5">
        <v>0</v>
      </c>
      <c r="BT8" s="5">
        <v>0</v>
      </c>
      <c r="BU8" s="5">
        <f>(BS8/8+BT8/4)*39</f>
        <v>0</v>
      </c>
      <c r="BV8" s="5">
        <v>0</v>
      </c>
      <c r="BW8" s="5">
        <v>0</v>
      </c>
      <c r="BX8" s="5">
        <v>1</v>
      </c>
      <c r="BY8" s="5">
        <v>0</v>
      </c>
      <c r="BZ8" s="5">
        <v>0</v>
      </c>
      <c r="CA8" s="5">
        <v>0</v>
      </c>
      <c r="CB8" s="5">
        <v>0</v>
      </c>
      <c r="CC8" s="5">
        <f>(BV8+BW8/2+BX8/8+BY8/16+BZ8/4+CA8/32)*39</f>
        <v>4.875</v>
      </c>
      <c r="CD8" s="5">
        <v>0</v>
      </c>
      <c r="CE8" s="5">
        <v>0</v>
      </c>
      <c r="CF8" s="5">
        <f>3+1</f>
        <v>4</v>
      </c>
      <c r="CG8" s="5">
        <v>0</v>
      </c>
      <c r="CH8" s="5">
        <v>0</v>
      </c>
      <c r="CI8" s="5">
        <v>0</v>
      </c>
      <c r="CJ8" s="5">
        <v>0</v>
      </c>
      <c r="CK8" s="5">
        <v>0</v>
      </c>
      <c r="CL8" s="5">
        <f>(CD8+CE8/2+CF8/8+CG8/16+CH8/4+CJ8/32+CK8/16)*39</f>
        <v>19.5</v>
      </c>
      <c r="CM8" s="5">
        <v>0</v>
      </c>
      <c r="CN8" s="5">
        <v>0</v>
      </c>
      <c r="CO8" s="5">
        <v>0</v>
      </c>
      <c r="CP8" s="5">
        <v>0</v>
      </c>
      <c r="CQ8" s="5">
        <v>0</v>
      </c>
      <c r="CR8" t="s">
        <v>3423</v>
      </c>
      <c r="CS8">
        <f>9+7/12</f>
        <v>9.5833333333333339</v>
      </c>
      <c r="CT8">
        <v>0</v>
      </c>
      <c r="CU8">
        <v>0</v>
      </c>
      <c r="CV8">
        <v>0</v>
      </c>
      <c r="CW8">
        <f>CS8+CT8/24+CU8/48+CV8/48</f>
        <v>9.5833333333333339</v>
      </c>
      <c r="CX8">
        <f>7/12</f>
        <v>0.58333333333333337</v>
      </c>
      <c r="CZ8" t="s">
        <v>210</v>
      </c>
      <c r="DC8" t="s">
        <v>262</v>
      </c>
      <c r="DD8" t="s">
        <v>693</v>
      </c>
      <c r="DE8" t="s">
        <v>542</v>
      </c>
      <c r="DF8" t="s">
        <v>3424</v>
      </c>
      <c r="DG8" t="s">
        <v>3425</v>
      </c>
    </row>
    <row r="9" spans="1:114" x14ac:dyDescent="0.25">
      <c r="A9">
        <v>1832</v>
      </c>
      <c r="B9" t="s">
        <v>788</v>
      </c>
      <c r="C9" t="s">
        <v>19</v>
      </c>
      <c r="D9" t="s">
        <v>3426</v>
      </c>
      <c r="E9" t="s">
        <v>1914</v>
      </c>
      <c r="G9" t="s">
        <v>3427</v>
      </c>
      <c r="I9" t="s">
        <v>219</v>
      </c>
      <c r="J9" s="5">
        <v>1345</v>
      </c>
      <c r="K9" t="s">
        <v>265</v>
      </c>
      <c r="L9">
        <v>24</v>
      </c>
      <c r="M9" s="7" t="s">
        <v>338</v>
      </c>
      <c r="V9" t="s">
        <v>1463</v>
      </c>
      <c r="W9" t="s">
        <v>225</v>
      </c>
      <c r="X9" t="s">
        <v>225</v>
      </c>
      <c r="Y9">
        <v>3</v>
      </c>
      <c r="Z9" t="s">
        <v>225</v>
      </c>
      <c r="AA9">
        <v>3</v>
      </c>
      <c r="AB9" t="s">
        <v>225</v>
      </c>
      <c r="AC9" t="s">
        <v>225</v>
      </c>
      <c r="AD9" t="s">
        <v>205</v>
      </c>
      <c r="AE9" t="s">
        <v>225</v>
      </c>
      <c r="AF9" t="s">
        <v>225</v>
      </c>
      <c r="AG9" t="s">
        <v>225</v>
      </c>
      <c r="AH9" t="s">
        <v>225</v>
      </c>
      <c r="AI9" t="s">
        <v>225</v>
      </c>
      <c r="AJ9" t="s">
        <v>225</v>
      </c>
      <c r="AK9" t="s">
        <v>225</v>
      </c>
      <c r="AL9" t="s">
        <v>225</v>
      </c>
      <c r="AM9" t="s">
        <v>225</v>
      </c>
      <c r="AN9" t="s">
        <v>225</v>
      </c>
      <c r="AO9" t="s">
        <v>225</v>
      </c>
      <c r="AP9" t="s">
        <v>225</v>
      </c>
      <c r="AQ9" t="s">
        <v>225</v>
      </c>
      <c r="AR9" t="s">
        <v>225</v>
      </c>
      <c r="AS9" t="s">
        <v>225</v>
      </c>
      <c r="AT9" t="s">
        <v>225</v>
      </c>
      <c r="AU9" t="s">
        <v>225</v>
      </c>
      <c r="AV9" t="s">
        <v>225</v>
      </c>
      <c r="AW9" t="s">
        <v>225</v>
      </c>
      <c r="AX9" t="s">
        <v>225</v>
      </c>
      <c r="AY9" t="s">
        <v>225</v>
      </c>
      <c r="AZ9" t="s">
        <v>225</v>
      </c>
      <c r="BA9" t="s">
        <v>225</v>
      </c>
      <c r="BB9" t="s">
        <v>225</v>
      </c>
      <c r="BC9" t="s">
        <v>225</v>
      </c>
      <c r="BD9" t="s">
        <v>225</v>
      </c>
      <c r="BE9" t="s">
        <v>225</v>
      </c>
      <c r="BF9" t="s">
        <v>225</v>
      </c>
      <c r="BG9" t="s">
        <v>225</v>
      </c>
      <c r="BH9" t="s">
        <v>225</v>
      </c>
      <c r="BI9" t="s">
        <v>225</v>
      </c>
      <c r="BJ9" t="s">
        <v>225</v>
      </c>
      <c r="BK9" t="s">
        <v>225</v>
      </c>
      <c r="BL9" t="s">
        <v>205</v>
      </c>
      <c r="BN9" t="s">
        <v>3448</v>
      </c>
      <c r="BR9" s="5">
        <v>0</v>
      </c>
      <c r="BS9" s="5">
        <v>0</v>
      </c>
      <c r="BT9" s="5">
        <v>0</v>
      </c>
      <c r="BU9" s="5">
        <f>(BS9/8+BT9/4)*39</f>
        <v>0</v>
      </c>
      <c r="BV9" s="5">
        <v>0</v>
      </c>
      <c r="BW9" s="5">
        <v>0</v>
      </c>
      <c r="BX9" s="5">
        <v>0</v>
      </c>
      <c r="BY9" s="5">
        <v>0</v>
      </c>
      <c r="BZ9" s="5">
        <v>0</v>
      </c>
      <c r="CA9" s="5">
        <v>0</v>
      </c>
      <c r="CB9" s="5">
        <v>0</v>
      </c>
      <c r="CC9" s="5">
        <f>(BV9+BW9/2+BX9/8+BY9/16+BZ9/4+CA9/32)*39</f>
        <v>0</v>
      </c>
      <c r="CD9" s="5">
        <v>0</v>
      </c>
      <c r="CE9" s="5">
        <v>0</v>
      </c>
      <c r="CF9" s="5">
        <v>0</v>
      </c>
      <c r="CG9" s="5">
        <v>0</v>
      </c>
      <c r="CH9" s="5">
        <v>0</v>
      </c>
      <c r="CI9" s="5">
        <v>0</v>
      </c>
      <c r="CJ9" s="5">
        <v>0</v>
      </c>
      <c r="CK9" s="5">
        <v>0</v>
      </c>
      <c r="CL9" s="5">
        <f>(CD9+CE9/2+CF9/8+CG9/16+CH9/4+CJ9/32+CK9/16)*39</f>
        <v>0</v>
      </c>
      <c r="CM9" s="5">
        <v>0</v>
      </c>
      <c r="CN9" s="5">
        <v>0</v>
      </c>
      <c r="CO9" s="5">
        <v>0</v>
      </c>
      <c r="CP9" s="5">
        <v>0</v>
      </c>
      <c r="CQ9" s="5">
        <v>0</v>
      </c>
      <c r="CS9">
        <f>2+5/12</f>
        <v>2.4166666666666665</v>
      </c>
      <c r="CT9">
        <v>1</v>
      </c>
      <c r="CU9">
        <v>0</v>
      </c>
      <c r="CV9">
        <v>0</v>
      </c>
      <c r="CW9">
        <f>CS9+CT9/24+CU9/48+CV9/48</f>
        <v>2.458333333333333</v>
      </c>
      <c r="CX9">
        <v>0</v>
      </c>
      <c r="CY9" t="s">
        <v>248</v>
      </c>
      <c r="CZ9" t="s">
        <v>210</v>
      </c>
      <c r="DC9" t="s">
        <v>2178</v>
      </c>
      <c r="DD9" t="s">
        <v>693</v>
      </c>
      <c r="DE9" t="s">
        <v>3449</v>
      </c>
      <c r="DF9" t="s">
        <v>542</v>
      </c>
      <c r="DG9" t="s">
        <v>3450</v>
      </c>
    </row>
    <row r="10" spans="1:114" x14ac:dyDescent="0.25">
      <c r="A10">
        <v>1833</v>
      </c>
      <c r="C10" t="s">
        <v>19</v>
      </c>
      <c r="D10" t="s">
        <v>3426</v>
      </c>
      <c r="E10" t="s">
        <v>1914</v>
      </c>
      <c r="G10" t="s">
        <v>3427</v>
      </c>
      <c r="I10" t="s">
        <v>219</v>
      </c>
      <c r="J10" s="5">
        <v>1345</v>
      </c>
      <c r="K10" s="5" t="s">
        <v>198</v>
      </c>
      <c r="M10" s="7" t="s">
        <v>338</v>
      </c>
      <c r="V10" t="s">
        <v>1463</v>
      </c>
      <c r="W10" t="s">
        <v>225</v>
      </c>
      <c r="X10" t="s">
        <v>225</v>
      </c>
      <c r="Y10" t="s">
        <v>225</v>
      </c>
      <c r="Z10" t="s">
        <v>225</v>
      </c>
      <c r="AA10">
        <v>1</v>
      </c>
      <c r="AB10" t="s">
        <v>225</v>
      </c>
      <c r="AC10" t="s">
        <v>225</v>
      </c>
      <c r="AD10">
        <v>1</v>
      </c>
      <c r="AE10" t="s">
        <v>225</v>
      </c>
      <c r="AF10" t="s">
        <v>225</v>
      </c>
      <c r="AG10" t="s">
        <v>225</v>
      </c>
      <c r="AH10" t="s">
        <v>225</v>
      </c>
      <c r="AI10" t="s">
        <v>225</v>
      </c>
      <c r="AJ10" t="s">
        <v>225</v>
      </c>
      <c r="AK10" t="s">
        <v>225</v>
      </c>
      <c r="AL10" t="s">
        <v>225</v>
      </c>
      <c r="AM10" t="s">
        <v>225</v>
      </c>
      <c r="AN10" t="s">
        <v>225</v>
      </c>
      <c r="AO10" t="s">
        <v>225</v>
      </c>
      <c r="AP10" t="s">
        <v>225</v>
      </c>
      <c r="AQ10" t="s">
        <v>225</v>
      </c>
      <c r="AR10" t="s">
        <v>225</v>
      </c>
      <c r="AS10" t="s">
        <v>225</v>
      </c>
      <c r="AT10" t="s">
        <v>225</v>
      </c>
      <c r="AU10" t="s">
        <v>225</v>
      </c>
      <c r="AV10" t="s">
        <v>225</v>
      </c>
      <c r="AW10" t="s">
        <v>225</v>
      </c>
      <c r="AX10" t="s">
        <v>225</v>
      </c>
      <c r="AY10" t="s">
        <v>225</v>
      </c>
      <c r="AZ10" t="s">
        <v>225</v>
      </c>
      <c r="BA10" t="s">
        <v>225</v>
      </c>
      <c r="BB10" t="s">
        <v>225</v>
      </c>
      <c r="BC10" t="s">
        <v>225</v>
      </c>
      <c r="BD10" t="s">
        <v>225</v>
      </c>
      <c r="BE10" t="s">
        <v>225</v>
      </c>
      <c r="BF10" t="s">
        <v>225</v>
      </c>
      <c r="BG10" t="s">
        <v>225</v>
      </c>
      <c r="BH10" t="s">
        <v>225</v>
      </c>
      <c r="BI10" t="s">
        <v>225</v>
      </c>
      <c r="BJ10" t="s">
        <v>225</v>
      </c>
      <c r="BK10" t="s">
        <v>225</v>
      </c>
      <c r="BL10" t="s">
        <v>225</v>
      </c>
      <c r="BN10" t="s">
        <v>3455</v>
      </c>
      <c r="BR10" s="5">
        <v>0</v>
      </c>
      <c r="BS10" s="5">
        <v>0</v>
      </c>
      <c r="BT10" s="5">
        <v>0</v>
      </c>
      <c r="BU10" s="5">
        <f>(BS10/8+BT10/4)*39</f>
        <v>0</v>
      </c>
      <c r="BV10" s="5">
        <v>0</v>
      </c>
      <c r="BW10" s="5">
        <v>0</v>
      </c>
      <c r="BX10" s="5">
        <v>0</v>
      </c>
      <c r="BY10" s="5">
        <v>0</v>
      </c>
      <c r="BZ10" s="5">
        <v>0</v>
      </c>
      <c r="CA10" s="5">
        <v>0</v>
      </c>
      <c r="CB10" s="5">
        <v>0</v>
      </c>
      <c r="CC10" s="5">
        <f>(BV10+BW10/2+BX10/8+BY10/16+BZ10/4+CA10/32)*39</f>
        <v>0</v>
      </c>
      <c r="CD10" s="5">
        <v>0</v>
      </c>
      <c r="CE10" s="5">
        <v>0</v>
      </c>
      <c r="CF10" s="5">
        <v>0</v>
      </c>
      <c r="CG10" s="5">
        <v>0</v>
      </c>
      <c r="CH10" s="5">
        <v>0</v>
      </c>
      <c r="CI10" s="5">
        <v>0</v>
      </c>
      <c r="CJ10" s="5">
        <v>0</v>
      </c>
      <c r="CK10" s="5">
        <v>0</v>
      </c>
      <c r="CL10" s="5">
        <f>(CD10+CE10/2+CF10/8+CG10/16+CH10/4+CJ10/32+CK10/16)*39</f>
        <v>0</v>
      </c>
      <c r="CM10" s="5">
        <v>0</v>
      </c>
      <c r="CN10" s="5">
        <v>0</v>
      </c>
      <c r="CO10" s="5">
        <v>0</v>
      </c>
      <c r="CP10" s="5">
        <v>0</v>
      </c>
      <c r="CQ10" s="5">
        <v>0</v>
      </c>
      <c r="CR10" t="s">
        <v>3458</v>
      </c>
      <c r="CS10">
        <f>1/12</f>
        <v>8.3333333333333329E-2</v>
      </c>
      <c r="CT10">
        <v>0</v>
      </c>
      <c r="CU10">
        <v>0</v>
      </c>
      <c r="CV10">
        <v>0</v>
      </c>
      <c r="CW10">
        <f>CS10+CT10/24+CU10/48+CV10/48</f>
        <v>8.3333333333333329E-2</v>
      </c>
      <c r="CX10">
        <v>0</v>
      </c>
      <c r="DC10" t="s">
        <v>2146</v>
      </c>
      <c r="DD10" t="s">
        <v>693</v>
      </c>
      <c r="DE10" t="s">
        <v>3456</v>
      </c>
      <c r="DF10" t="s">
        <v>542</v>
      </c>
    </row>
    <row r="11" spans="1:114" x14ac:dyDescent="0.25">
      <c r="A11">
        <v>1861</v>
      </c>
      <c r="C11" t="s">
        <v>3748</v>
      </c>
      <c r="D11" t="s">
        <v>160</v>
      </c>
      <c r="E11" t="s">
        <v>2183</v>
      </c>
      <c r="I11" t="s">
        <v>220</v>
      </c>
      <c r="J11" s="5">
        <v>1344</v>
      </c>
      <c r="K11" t="s">
        <v>383</v>
      </c>
      <c r="L11">
        <v>27</v>
      </c>
      <c r="M11" s="8" t="s">
        <v>338</v>
      </c>
      <c r="N11" t="s">
        <v>986</v>
      </c>
      <c r="W11" t="s">
        <v>225</v>
      </c>
      <c r="X11" t="s">
        <v>225</v>
      </c>
      <c r="Y11" t="s">
        <v>225</v>
      </c>
      <c r="Z11" t="s">
        <v>225</v>
      </c>
      <c r="AA11" t="s">
        <v>225</v>
      </c>
      <c r="AB11" t="s">
        <v>225</v>
      </c>
      <c r="AC11" t="s">
        <v>225</v>
      </c>
      <c r="AD11" t="s">
        <v>225</v>
      </c>
      <c r="AE11" t="s">
        <v>225</v>
      </c>
      <c r="AF11" t="s">
        <v>225</v>
      </c>
      <c r="AG11" t="s">
        <v>225</v>
      </c>
      <c r="AH11" t="s">
        <v>225</v>
      </c>
      <c r="AI11">
        <v>1</v>
      </c>
      <c r="AJ11" t="s">
        <v>225</v>
      </c>
      <c r="AK11" t="s">
        <v>225</v>
      </c>
      <c r="AL11" t="s">
        <v>225</v>
      </c>
      <c r="AM11" t="s">
        <v>225</v>
      </c>
      <c r="AN11" t="s">
        <v>225</v>
      </c>
      <c r="AO11" t="s">
        <v>225</v>
      </c>
      <c r="AP11" t="s">
        <v>225</v>
      </c>
      <c r="AQ11" t="s">
        <v>225</v>
      </c>
      <c r="AR11" t="s">
        <v>225</v>
      </c>
      <c r="AS11" t="s">
        <v>225</v>
      </c>
      <c r="AT11" t="s">
        <v>225</v>
      </c>
      <c r="AU11" t="s">
        <v>225</v>
      </c>
      <c r="AV11" t="s">
        <v>225</v>
      </c>
      <c r="AW11" t="s">
        <v>225</v>
      </c>
      <c r="AX11" t="s">
        <v>225</v>
      </c>
      <c r="AY11" t="s">
        <v>225</v>
      </c>
      <c r="AZ11" t="s">
        <v>225</v>
      </c>
      <c r="BA11" t="s">
        <v>225</v>
      </c>
      <c r="BB11" t="s">
        <v>225</v>
      </c>
      <c r="BC11" t="s">
        <v>225</v>
      </c>
      <c r="BD11" t="s">
        <v>225</v>
      </c>
      <c r="BE11" t="s">
        <v>225</v>
      </c>
      <c r="BF11" t="s">
        <v>225</v>
      </c>
      <c r="BG11" t="s">
        <v>225</v>
      </c>
      <c r="BH11" t="s">
        <v>225</v>
      </c>
      <c r="BI11" t="s">
        <v>225</v>
      </c>
      <c r="BJ11">
        <v>1</v>
      </c>
      <c r="BK11" t="s">
        <v>225</v>
      </c>
      <c r="BL11" t="s">
        <v>225</v>
      </c>
      <c r="BN11" t="s">
        <v>3306</v>
      </c>
      <c r="BQ11" t="s">
        <v>539</v>
      </c>
      <c r="BR11" s="5">
        <v>0</v>
      </c>
      <c r="BS11" s="5">
        <v>0</v>
      </c>
      <c r="BT11" s="5">
        <v>0</v>
      </c>
      <c r="BU11" s="5">
        <f>(BS11/8+BT11/4)*39</f>
        <v>0</v>
      </c>
      <c r="BV11" s="5">
        <v>0</v>
      </c>
      <c r="BW11" s="5">
        <v>0</v>
      </c>
      <c r="BX11" s="5">
        <v>7</v>
      </c>
      <c r="BY11" s="5">
        <v>0</v>
      </c>
      <c r="BZ11" s="5">
        <v>0</v>
      </c>
      <c r="CA11" s="5">
        <v>0</v>
      </c>
      <c r="CB11" s="5">
        <v>0</v>
      </c>
      <c r="CC11" s="5">
        <f>(BV11+BW11/2+BX11/8+BY11/16+BZ11/4+CA11/32)*39</f>
        <v>34.125</v>
      </c>
      <c r="CD11" s="5">
        <v>0</v>
      </c>
      <c r="CE11" s="5">
        <v>0</v>
      </c>
      <c r="CF11" s="5">
        <v>0</v>
      </c>
      <c r="CG11" s="5">
        <v>1</v>
      </c>
      <c r="CH11" s="5">
        <v>0</v>
      </c>
      <c r="CI11" s="5">
        <v>0</v>
      </c>
      <c r="CJ11" s="5">
        <v>0</v>
      </c>
      <c r="CK11" s="5">
        <v>0</v>
      </c>
      <c r="CL11" s="5">
        <f>(CD11+CE11/2+CF11/8+CG11/16+CH11/4+CJ11/32+CK11/16)*39</f>
        <v>2.4375</v>
      </c>
      <c r="CM11" s="5">
        <v>0</v>
      </c>
      <c r="CN11" s="5">
        <v>0</v>
      </c>
      <c r="CO11" s="5">
        <v>0</v>
      </c>
      <c r="CP11" s="5">
        <v>0</v>
      </c>
      <c r="CQ11" s="5">
        <v>0</v>
      </c>
      <c r="CS11">
        <v>0</v>
      </c>
      <c r="CT11">
        <v>0</v>
      </c>
      <c r="CU11">
        <v>0</v>
      </c>
      <c r="CV11">
        <v>0</v>
      </c>
      <c r="CW11">
        <f>CS11+CT11/24+CU11/48+CV11/48</f>
        <v>0</v>
      </c>
      <c r="CX11">
        <v>0</v>
      </c>
      <c r="CZ11" t="s">
        <v>210</v>
      </c>
      <c r="DC11" t="s">
        <v>262</v>
      </c>
      <c r="DD11" t="s">
        <v>693</v>
      </c>
      <c r="DE11" t="s">
        <v>3511</v>
      </c>
      <c r="DF11" t="s">
        <v>3512</v>
      </c>
      <c r="DG11" t="s">
        <v>3513</v>
      </c>
    </row>
    <row r="12" spans="1:114" x14ac:dyDescent="0.25">
      <c r="A12">
        <v>731</v>
      </c>
      <c r="C12" t="s">
        <v>13</v>
      </c>
      <c r="D12" t="s">
        <v>786</v>
      </c>
      <c r="E12" t="s">
        <v>776</v>
      </c>
      <c r="G12" t="s">
        <v>789</v>
      </c>
      <c r="H12" t="s">
        <v>790</v>
      </c>
      <c r="I12" t="s">
        <v>219</v>
      </c>
      <c r="J12">
        <v>1343</v>
      </c>
      <c r="K12" t="s">
        <v>383</v>
      </c>
      <c r="L12">
        <v>13</v>
      </c>
      <c r="M12" s="7" t="s">
        <v>338</v>
      </c>
      <c r="N12" t="s">
        <v>986</v>
      </c>
      <c r="U12" s="18"/>
      <c r="V12" t="s">
        <v>204</v>
      </c>
      <c r="W12" t="s">
        <v>225</v>
      </c>
      <c r="X12" t="s">
        <v>225</v>
      </c>
      <c r="Y12" t="s">
        <v>225</v>
      </c>
      <c r="Z12" t="s">
        <v>225</v>
      </c>
      <c r="AA12" t="s">
        <v>225</v>
      </c>
      <c r="AB12" t="s">
        <v>225</v>
      </c>
      <c r="AC12">
        <v>1</v>
      </c>
      <c r="AD12" t="s">
        <v>205</v>
      </c>
      <c r="AE12" t="s">
        <v>225</v>
      </c>
      <c r="AF12" t="s">
        <v>225</v>
      </c>
      <c r="AG12" t="s">
        <v>225</v>
      </c>
      <c r="AH12" t="s">
        <v>225</v>
      </c>
      <c r="AI12" t="s">
        <v>225</v>
      </c>
      <c r="AJ12" t="s">
        <v>225</v>
      </c>
      <c r="AK12" t="s">
        <v>225</v>
      </c>
      <c r="AL12" t="s">
        <v>225</v>
      </c>
      <c r="AM12" t="s">
        <v>225</v>
      </c>
      <c r="AN12" t="s">
        <v>225</v>
      </c>
      <c r="AO12" t="s">
        <v>225</v>
      </c>
      <c r="AP12" t="s">
        <v>225</v>
      </c>
      <c r="AQ12" t="s">
        <v>225</v>
      </c>
      <c r="AR12" t="s">
        <v>225</v>
      </c>
      <c r="AS12" t="s">
        <v>225</v>
      </c>
      <c r="AT12" t="s">
        <v>225</v>
      </c>
      <c r="AU12" t="s">
        <v>225</v>
      </c>
      <c r="AV12" t="s">
        <v>225</v>
      </c>
      <c r="AW12" t="s">
        <v>225</v>
      </c>
      <c r="AX12" t="s">
        <v>225</v>
      </c>
      <c r="AY12" t="s">
        <v>225</v>
      </c>
      <c r="AZ12" t="s">
        <v>225</v>
      </c>
      <c r="BA12" t="s">
        <v>225</v>
      </c>
      <c r="BB12" t="s">
        <v>225</v>
      </c>
      <c r="BC12" t="s">
        <v>225</v>
      </c>
      <c r="BD12" t="s">
        <v>225</v>
      </c>
      <c r="BE12" t="s">
        <v>225</v>
      </c>
      <c r="BF12" t="s">
        <v>225</v>
      </c>
      <c r="BG12" t="s">
        <v>225</v>
      </c>
      <c r="BH12" t="s">
        <v>225</v>
      </c>
      <c r="BI12" t="s">
        <v>225</v>
      </c>
      <c r="BJ12" t="s">
        <v>225</v>
      </c>
      <c r="BK12" t="s">
        <v>225</v>
      </c>
      <c r="BL12" t="s">
        <v>225</v>
      </c>
      <c r="BN12" t="s">
        <v>814</v>
      </c>
      <c r="BP12" t="s">
        <v>461</v>
      </c>
      <c r="BQ12" t="s">
        <v>1455</v>
      </c>
      <c r="BR12">
        <v>0</v>
      </c>
      <c r="BS12" s="5">
        <v>1</v>
      </c>
      <c r="BT12">
        <v>0</v>
      </c>
      <c r="BU12" s="5">
        <f>(BS12/8+BT12/4)*39</f>
        <v>4.875</v>
      </c>
      <c r="BV12">
        <v>0</v>
      </c>
      <c r="BW12">
        <v>0</v>
      </c>
      <c r="BX12">
        <v>0</v>
      </c>
      <c r="BY12">
        <v>0</v>
      </c>
      <c r="BZ12">
        <v>0</v>
      </c>
      <c r="CA12">
        <v>0</v>
      </c>
      <c r="CB12">
        <v>0</v>
      </c>
      <c r="CC12" s="5">
        <f>(BV12+BW12/2+BX12/8+BY12/16+BZ12/4+CA12/32)*39</f>
        <v>0</v>
      </c>
      <c r="CD12">
        <v>0</v>
      </c>
      <c r="CE12">
        <v>0</v>
      </c>
      <c r="CF12">
        <v>0</v>
      </c>
      <c r="CG12">
        <v>0</v>
      </c>
      <c r="CH12">
        <v>0</v>
      </c>
      <c r="CI12">
        <v>0</v>
      </c>
      <c r="CJ12">
        <v>0</v>
      </c>
      <c r="CK12">
        <v>0</v>
      </c>
      <c r="CL12" s="5">
        <f>(CD12+CE12/2+CF12/8+CG12/16+CH12/4+CJ12/32+CK12/16)*39</f>
        <v>0</v>
      </c>
      <c r="CM12">
        <v>0</v>
      </c>
      <c r="CN12">
        <v>0</v>
      </c>
      <c r="CO12">
        <v>0</v>
      </c>
      <c r="CP12">
        <v>0</v>
      </c>
      <c r="CQ12">
        <v>0</v>
      </c>
      <c r="CS12">
        <f>1/12</f>
        <v>8.3333333333333329E-2</v>
      </c>
      <c r="CT12">
        <v>0</v>
      </c>
      <c r="CU12">
        <v>0</v>
      </c>
      <c r="CV12">
        <v>0</v>
      </c>
      <c r="CW12">
        <f>CS12+CT12/24+CU12/48+CV12/48</f>
        <v>8.3333333333333329E-2</v>
      </c>
      <c r="CX12">
        <v>0</v>
      </c>
      <c r="CZ12" t="s">
        <v>210</v>
      </c>
      <c r="DB12" t="s">
        <v>748</v>
      </c>
      <c r="DC12" t="s">
        <v>262</v>
      </c>
      <c r="DD12" t="s">
        <v>693</v>
      </c>
      <c r="DE12" t="s">
        <v>263</v>
      </c>
      <c r="DF12" t="s">
        <v>878</v>
      </c>
      <c r="DG12" t="s">
        <v>879</v>
      </c>
      <c r="DJ12" t="s">
        <v>483</v>
      </c>
    </row>
    <row r="13" spans="1:114" x14ac:dyDescent="0.25">
      <c r="A13">
        <v>821</v>
      </c>
      <c r="B13" t="s">
        <v>788</v>
      </c>
      <c r="C13" t="s">
        <v>465</v>
      </c>
      <c r="D13" t="s">
        <v>997</v>
      </c>
      <c r="E13" t="s">
        <v>776</v>
      </c>
      <c r="F13" t="s">
        <v>998</v>
      </c>
      <c r="I13" t="s">
        <v>219</v>
      </c>
      <c r="J13">
        <v>1343</v>
      </c>
      <c r="K13" t="s">
        <v>431</v>
      </c>
      <c r="L13" s="5">
        <v>29</v>
      </c>
      <c r="M13" s="7" t="s">
        <v>338</v>
      </c>
      <c r="N13" t="s">
        <v>986</v>
      </c>
      <c r="V13" t="s">
        <v>204</v>
      </c>
      <c r="W13" t="s">
        <v>225</v>
      </c>
      <c r="X13" t="s">
        <v>225</v>
      </c>
      <c r="Y13">
        <v>3</v>
      </c>
      <c r="Z13" t="s">
        <v>225</v>
      </c>
      <c r="AA13" t="s">
        <v>225</v>
      </c>
      <c r="AB13" t="s">
        <v>225</v>
      </c>
      <c r="AC13" t="s">
        <v>225</v>
      </c>
      <c r="AD13" t="s">
        <v>225</v>
      </c>
      <c r="AE13" t="s">
        <v>225</v>
      </c>
      <c r="AF13" t="s">
        <v>225</v>
      </c>
      <c r="AG13" t="s">
        <v>225</v>
      </c>
      <c r="AH13" t="s">
        <v>225</v>
      </c>
      <c r="AI13" t="s">
        <v>225</v>
      </c>
      <c r="AJ13" t="s">
        <v>225</v>
      </c>
      <c r="AK13" t="s">
        <v>225</v>
      </c>
      <c r="AL13" t="s">
        <v>225</v>
      </c>
      <c r="AM13" t="s">
        <v>225</v>
      </c>
      <c r="AN13" t="s">
        <v>225</v>
      </c>
      <c r="AO13" t="s">
        <v>225</v>
      </c>
      <c r="AP13" t="s">
        <v>225</v>
      </c>
      <c r="AQ13" t="s">
        <v>225</v>
      </c>
      <c r="AR13" t="s">
        <v>225</v>
      </c>
      <c r="AS13" t="s">
        <v>225</v>
      </c>
      <c r="AT13" t="s">
        <v>225</v>
      </c>
      <c r="AU13" t="s">
        <v>225</v>
      </c>
      <c r="AV13" t="s">
        <v>225</v>
      </c>
      <c r="AW13" t="s">
        <v>225</v>
      </c>
      <c r="AX13" t="s">
        <v>225</v>
      </c>
      <c r="AY13" t="s">
        <v>225</v>
      </c>
      <c r="AZ13" t="s">
        <v>225</v>
      </c>
      <c r="BA13" t="s">
        <v>225</v>
      </c>
      <c r="BB13" t="s">
        <v>225</v>
      </c>
      <c r="BC13" t="s">
        <v>225</v>
      </c>
      <c r="BD13" t="s">
        <v>225</v>
      </c>
      <c r="BE13" t="s">
        <v>225</v>
      </c>
      <c r="BF13" t="s">
        <v>225</v>
      </c>
      <c r="BG13" t="s">
        <v>225</v>
      </c>
      <c r="BH13" t="s">
        <v>225</v>
      </c>
      <c r="BI13" t="s">
        <v>225</v>
      </c>
      <c r="BJ13" t="s">
        <v>225</v>
      </c>
      <c r="BK13" t="s">
        <v>225</v>
      </c>
      <c r="BL13" t="s">
        <v>225</v>
      </c>
      <c r="BM13" t="s">
        <v>1011</v>
      </c>
      <c r="BN13" t="s">
        <v>1009</v>
      </c>
      <c r="BR13" s="5">
        <v>0</v>
      </c>
      <c r="BS13" s="5">
        <v>0</v>
      </c>
      <c r="BT13" s="5">
        <v>0</v>
      </c>
      <c r="BU13" s="5">
        <f>(BS13/8+BT13/4)*39</f>
        <v>0</v>
      </c>
      <c r="BV13" s="5">
        <v>0</v>
      </c>
      <c r="BW13" s="5">
        <v>0</v>
      </c>
      <c r="BX13" s="5">
        <v>0</v>
      </c>
      <c r="BY13" s="5">
        <v>0</v>
      </c>
      <c r="BZ13" s="5">
        <v>0</v>
      </c>
      <c r="CA13" s="5">
        <v>0</v>
      </c>
      <c r="CB13" s="5">
        <v>0</v>
      </c>
      <c r="CC13" s="5">
        <f>(BV13+BW13/2+BX13/8+BY13/16+BZ13/4+CA13/32)*39</f>
        <v>0</v>
      </c>
      <c r="CD13" s="5">
        <v>0</v>
      </c>
      <c r="CE13" s="5">
        <v>0</v>
      </c>
      <c r="CF13" s="5">
        <v>0</v>
      </c>
      <c r="CG13" s="5">
        <v>0</v>
      </c>
      <c r="CH13" s="5">
        <v>0</v>
      </c>
      <c r="CI13" s="5">
        <v>0</v>
      </c>
      <c r="CJ13" s="5">
        <v>0</v>
      </c>
      <c r="CK13" s="5">
        <v>0</v>
      </c>
      <c r="CL13" s="5">
        <f>(CD13+CE13/2+CF13/8+CG13/16+CH13/4+CJ13/32+CK13/16)*39</f>
        <v>0</v>
      </c>
      <c r="CM13" s="5">
        <v>0</v>
      </c>
      <c r="CN13" s="5">
        <v>0</v>
      </c>
      <c r="CO13" s="5">
        <v>0</v>
      </c>
      <c r="CP13" s="5">
        <v>0</v>
      </c>
      <c r="CQ13" s="5">
        <v>0</v>
      </c>
      <c r="CS13">
        <f>3/12</f>
        <v>0.25</v>
      </c>
      <c r="CT13">
        <v>0</v>
      </c>
      <c r="CU13">
        <v>0</v>
      </c>
      <c r="CV13">
        <v>0</v>
      </c>
      <c r="CW13">
        <f>CS13+CT13/24+CU13/48+CV13/48</f>
        <v>0.25</v>
      </c>
      <c r="CX13">
        <v>0</v>
      </c>
      <c r="CZ13" t="s">
        <v>210</v>
      </c>
      <c r="DC13" t="s">
        <v>1014</v>
      </c>
      <c r="DD13" t="s">
        <v>693</v>
      </c>
      <c r="DE13" t="s">
        <v>1015</v>
      </c>
      <c r="DF13" t="s">
        <v>1016</v>
      </c>
      <c r="DG13" t="s">
        <v>1017</v>
      </c>
    </row>
    <row r="14" spans="1:114" x14ac:dyDescent="0.25">
      <c r="A14">
        <v>1142</v>
      </c>
      <c r="C14" t="s">
        <v>47</v>
      </c>
      <c r="D14" t="s">
        <v>1466</v>
      </c>
      <c r="E14" t="s">
        <v>1467</v>
      </c>
      <c r="I14" t="s">
        <v>219</v>
      </c>
      <c r="J14">
        <v>1343</v>
      </c>
      <c r="K14" t="s">
        <v>1097</v>
      </c>
      <c r="L14">
        <v>1</v>
      </c>
      <c r="M14" s="7" t="s">
        <v>338</v>
      </c>
      <c r="N14" t="s">
        <v>1482</v>
      </c>
      <c r="V14" t="s">
        <v>1463</v>
      </c>
      <c r="W14" t="s">
        <v>225</v>
      </c>
      <c r="X14" t="s">
        <v>225</v>
      </c>
      <c r="Y14">
        <v>1</v>
      </c>
      <c r="Z14" t="s">
        <v>225</v>
      </c>
      <c r="AA14" t="s">
        <v>225</v>
      </c>
      <c r="AB14" t="s">
        <v>225</v>
      </c>
      <c r="AC14" t="s">
        <v>225</v>
      </c>
      <c r="AD14" t="s">
        <v>205</v>
      </c>
      <c r="AE14" t="s">
        <v>225</v>
      </c>
      <c r="AF14" t="s">
        <v>225</v>
      </c>
      <c r="AG14" t="s">
        <v>225</v>
      </c>
      <c r="AH14" t="s">
        <v>225</v>
      </c>
      <c r="AI14" t="s">
        <v>225</v>
      </c>
      <c r="AJ14" t="s">
        <v>225</v>
      </c>
      <c r="AK14" t="s">
        <v>225</v>
      </c>
      <c r="AL14" t="s">
        <v>225</v>
      </c>
      <c r="AM14" t="s">
        <v>225</v>
      </c>
      <c r="AN14" t="s">
        <v>225</v>
      </c>
      <c r="AO14" t="s">
        <v>225</v>
      </c>
      <c r="AP14" t="s">
        <v>225</v>
      </c>
      <c r="AQ14" t="s">
        <v>225</v>
      </c>
      <c r="AR14" t="s">
        <v>225</v>
      </c>
      <c r="AS14" t="s">
        <v>225</v>
      </c>
      <c r="AT14" t="s">
        <v>225</v>
      </c>
      <c r="AU14" t="s">
        <v>225</v>
      </c>
      <c r="AV14" t="s">
        <v>225</v>
      </c>
      <c r="AW14" t="s">
        <v>225</v>
      </c>
      <c r="AX14" t="s">
        <v>225</v>
      </c>
      <c r="AY14" t="s">
        <v>225</v>
      </c>
      <c r="AZ14" t="s">
        <v>225</v>
      </c>
      <c r="BA14" t="s">
        <v>225</v>
      </c>
      <c r="BB14" t="s">
        <v>225</v>
      </c>
      <c r="BC14" t="s">
        <v>225</v>
      </c>
      <c r="BD14" t="s">
        <v>225</v>
      </c>
      <c r="BE14" t="s">
        <v>225</v>
      </c>
      <c r="BF14" t="s">
        <v>225</v>
      </c>
      <c r="BG14" t="s">
        <v>225</v>
      </c>
      <c r="BH14" t="s">
        <v>225</v>
      </c>
      <c r="BI14" t="s">
        <v>225</v>
      </c>
      <c r="BJ14" t="s">
        <v>225</v>
      </c>
      <c r="BK14" t="s">
        <v>225</v>
      </c>
      <c r="BL14" t="s">
        <v>225</v>
      </c>
      <c r="BN14" t="s">
        <v>1468</v>
      </c>
      <c r="BQ14" t="s">
        <v>1455</v>
      </c>
      <c r="BR14" s="5">
        <v>0</v>
      </c>
      <c r="BS14" s="5">
        <v>0</v>
      </c>
      <c r="BT14" s="5">
        <v>0</v>
      </c>
      <c r="BU14" s="5">
        <f>(BS14/8+BT14/4)*39</f>
        <v>0</v>
      </c>
      <c r="BV14" s="5">
        <v>0</v>
      </c>
      <c r="BW14" s="5">
        <v>0</v>
      </c>
      <c r="BX14" s="6">
        <f>1/2</f>
        <v>0.5</v>
      </c>
      <c r="BY14" s="5">
        <v>0</v>
      </c>
      <c r="BZ14" s="5">
        <v>0</v>
      </c>
      <c r="CA14" s="5">
        <v>0</v>
      </c>
      <c r="CB14" s="5">
        <v>0</v>
      </c>
      <c r="CC14" s="5">
        <f>(BV14+BW14/2+BX14/8+BY14/16+BZ14/4+CA14/32)*39</f>
        <v>2.4375</v>
      </c>
      <c r="CD14" s="5">
        <v>0</v>
      </c>
      <c r="CE14" s="5">
        <v>0</v>
      </c>
      <c r="CF14" s="5">
        <v>0</v>
      </c>
      <c r="CG14" s="5">
        <v>0</v>
      </c>
      <c r="CH14" s="5">
        <v>0</v>
      </c>
      <c r="CI14" s="5">
        <v>0</v>
      </c>
      <c r="CJ14" s="5">
        <v>0</v>
      </c>
      <c r="CK14" s="5">
        <v>0</v>
      </c>
      <c r="CL14" s="5">
        <f>(CD14+CE14/2+CF14/8+CG14/16+CH14/4+CJ14/32+CK14/16)*39</f>
        <v>0</v>
      </c>
      <c r="CM14" s="5">
        <v>0</v>
      </c>
      <c r="CN14" s="5">
        <v>0</v>
      </c>
      <c r="CO14" s="5">
        <v>0</v>
      </c>
      <c r="CP14" s="5">
        <v>0</v>
      </c>
      <c r="CQ14" s="5">
        <v>0</v>
      </c>
      <c r="CS14">
        <f>6/12</f>
        <v>0.5</v>
      </c>
      <c r="CT14">
        <v>0</v>
      </c>
      <c r="CU14">
        <v>0</v>
      </c>
      <c r="CV14">
        <v>0</v>
      </c>
      <c r="CW14">
        <f>CS14+CT14/24+CU14/48+CV14/48</f>
        <v>0.5</v>
      </c>
      <c r="CX14">
        <v>0</v>
      </c>
      <c r="CZ14" t="s">
        <v>210</v>
      </c>
      <c r="DC14" t="s">
        <v>1578</v>
      </c>
      <c r="DD14" t="s">
        <v>693</v>
      </c>
      <c r="DE14" t="s">
        <v>542</v>
      </c>
      <c r="DF14" t="s">
        <v>1483</v>
      </c>
      <c r="DG14" t="s">
        <v>1484</v>
      </c>
    </row>
    <row r="15" spans="1:114" x14ac:dyDescent="0.25">
      <c r="A15">
        <v>1126</v>
      </c>
      <c r="C15" t="s">
        <v>465</v>
      </c>
      <c r="D15" t="s">
        <v>1449</v>
      </c>
      <c r="E15" t="s">
        <v>1406</v>
      </c>
      <c r="I15" t="s">
        <v>219</v>
      </c>
      <c r="J15">
        <v>1343</v>
      </c>
      <c r="K15" t="s">
        <v>973</v>
      </c>
      <c r="L15">
        <v>29</v>
      </c>
      <c r="M15" s="7" t="s">
        <v>338</v>
      </c>
      <c r="BQ15" s="1" t="s">
        <v>1642</v>
      </c>
      <c r="BR15" s="5">
        <v>0</v>
      </c>
      <c r="BS15" s="5">
        <v>0</v>
      </c>
      <c r="BT15" s="5">
        <v>0</v>
      </c>
      <c r="BU15" s="5">
        <f>(BS15/8+BT15/4)*39</f>
        <v>0</v>
      </c>
      <c r="BV15" s="5">
        <v>0</v>
      </c>
      <c r="BW15" s="5">
        <v>0</v>
      </c>
      <c r="BX15" s="5">
        <v>1</v>
      </c>
      <c r="BY15" s="5">
        <v>0</v>
      </c>
      <c r="BZ15" s="5">
        <v>0</v>
      </c>
      <c r="CA15" s="5">
        <v>0</v>
      </c>
      <c r="CB15" s="5">
        <v>0</v>
      </c>
      <c r="CC15" s="5">
        <f>(BV15+BW15/2+BX15/8+BY15/16+BZ15/4+CA15/32)*39</f>
        <v>4.875</v>
      </c>
      <c r="CD15" s="5">
        <v>0</v>
      </c>
      <c r="CE15" s="5">
        <v>0</v>
      </c>
      <c r="CF15" s="5">
        <v>1</v>
      </c>
      <c r="CG15" s="5">
        <v>0</v>
      </c>
      <c r="CH15" s="5">
        <v>0</v>
      </c>
      <c r="CI15" s="5">
        <v>0</v>
      </c>
      <c r="CJ15" s="5">
        <v>0</v>
      </c>
      <c r="CK15" s="5">
        <v>0</v>
      </c>
      <c r="CL15" s="5">
        <f>(CD15+CE15/2+CF15/8+CG15/16+CH15/4+CJ15/32+CK15/16)*39</f>
        <v>4.875</v>
      </c>
      <c r="CM15" s="5">
        <v>0</v>
      </c>
      <c r="CN15" s="5">
        <v>0</v>
      </c>
      <c r="CO15" s="5">
        <v>0</v>
      </c>
      <c r="CP15" s="5">
        <v>0</v>
      </c>
      <c r="CQ15" s="5">
        <v>0</v>
      </c>
      <c r="CS15">
        <f>6/12</f>
        <v>0.5</v>
      </c>
      <c r="CT15">
        <v>1</v>
      </c>
      <c r="CU15">
        <v>0</v>
      </c>
      <c r="CV15">
        <v>1</v>
      </c>
      <c r="CW15">
        <f>CS15+CT15/24+CU15/48+CV15/48</f>
        <v>0.5625</v>
      </c>
      <c r="CX15">
        <v>0</v>
      </c>
    </row>
    <row r="16" spans="1:114" x14ac:dyDescent="0.25">
      <c r="A16">
        <v>1131</v>
      </c>
      <c r="C16" t="s">
        <v>1446</v>
      </c>
      <c r="D16" t="s">
        <v>1449</v>
      </c>
      <c r="E16" t="s">
        <v>1406</v>
      </c>
      <c r="I16" t="s">
        <v>219</v>
      </c>
      <c r="J16">
        <v>1343</v>
      </c>
      <c r="K16" t="s">
        <v>973</v>
      </c>
      <c r="L16">
        <v>29</v>
      </c>
      <c r="M16" s="7" t="s">
        <v>338</v>
      </c>
      <c r="BQ16" s="1" t="s">
        <v>1642</v>
      </c>
      <c r="BR16" s="5">
        <v>0</v>
      </c>
      <c r="BS16" s="5">
        <v>0</v>
      </c>
      <c r="BT16" s="5">
        <v>0</v>
      </c>
      <c r="BU16" s="5">
        <f>(BS16/8+BT16/4)*39</f>
        <v>0</v>
      </c>
      <c r="BV16" s="5">
        <v>0</v>
      </c>
      <c r="BW16" s="5">
        <v>0</v>
      </c>
      <c r="BX16" s="5">
        <f>1/6</f>
        <v>0.16666666666666666</v>
      </c>
      <c r="BY16" s="5">
        <v>0</v>
      </c>
      <c r="BZ16" s="5">
        <v>0</v>
      </c>
      <c r="CA16" s="5">
        <v>0</v>
      </c>
      <c r="CB16" s="5">
        <v>0</v>
      </c>
      <c r="CC16" s="5">
        <f>(BV16+BW16/2+BX16/8+BY16/16+BZ16/4+CA16/32)*39</f>
        <v>0.8125</v>
      </c>
      <c r="CD16" s="5">
        <v>0</v>
      </c>
      <c r="CE16" s="5">
        <v>0</v>
      </c>
      <c r="CF16" s="5">
        <f>1/6</f>
        <v>0.16666666666666666</v>
      </c>
      <c r="CG16" s="5">
        <v>0</v>
      </c>
      <c r="CH16" s="5">
        <v>0</v>
      </c>
      <c r="CI16" s="5">
        <v>0</v>
      </c>
      <c r="CJ16" s="5">
        <v>0</v>
      </c>
      <c r="CK16" s="5">
        <v>0</v>
      </c>
      <c r="CL16" s="5">
        <f>(CD16+CE16/2+CF16/8+CG16/16+CH16/4+CJ16/32+CK16/16)*39</f>
        <v>0.8125</v>
      </c>
      <c r="CM16" s="5">
        <v>0</v>
      </c>
      <c r="CN16" s="5">
        <v>0</v>
      </c>
      <c r="CO16" s="5">
        <v>0</v>
      </c>
      <c r="CP16" s="5">
        <v>0</v>
      </c>
      <c r="CQ16" s="5">
        <v>0</v>
      </c>
      <c r="CS16">
        <f>1/12</f>
        <v>8.3333333333333329E-2</v>
      </c>
      <c r="CT16">
        <v>0</v>
      </c>
      <c r="CU16">
        <v>0</v>
      </c>
      <c r="CV16">
        <v>1</v>
      </c>
      <c r="CW16">
        <f>CS16+CT16/24+CU16/48+CV16/48</f>
        <v>0.10416666666666666</v>
      </c>
      <c r="CX16">
        <v>0</v>
      </c>
    </row>
    <row r="17" spans="1:114" x14ac:dyDescent="0.25">
      <c r="A17">
        <v>1132</v>
      </c>
      <c r="C17" t="s">
        <v>1447</v>
      </c>
      <c r="D17" t="s">
        <v>1449</v>
      </c>
      <c r="E17" t="s">
        <v>1406</v>
      </c>
      <c r="H17" t="s">
        <v>1448</v>
      </c>
      <c r="I17" t="s">
        <v>219</v>
      </c>
      <c r="J17">
        <v>1343</v>
      </c>
      <c r="K17" t="s">
        <v>973</v>
      </c>
      <c r="L17">
        <v>29</v>
      </c>
      <c r="M17" s="7" t="s">
        <v>338</v>
      </c>
      <c r="BP17" t="s">
        <v>762</v>
      </c>
      <c r="BQ17" s="1" t="s">
        <v>1642</v>
      </c>
      <c r="BR17" s="5">
        <v>0</v>
      </c>
      <c r="BS17" s="5">
        <v>0</v>
      </c>
      <c r="BT17" s="5">
        <v>0</v>
      </c>
      <c r="BU17" s="5">
        <f>(BS17/8+BT17/4)*39</f>
        <v>0</v>
      </c>
      <c r="BV17" s="5">
        <v>0</v>
      </c>
      <c r="BW17" s="5">
        <v>0</v>
      </c>
      <c r="BX17" s="5">
        <f>1/2</f>
        <v>0.5</v>
      </c>
      <c r="BY17" s="5">
        <v>0</v>
      </c>
      <c r="BZ17" s="5">
        <v>0</v>
      </c>
      <c r="CA17" s="5">
        <v>0</v>
      </c>
      <c r="CB17" s="5">
        <v>0</v>
      </c>
      <c r="CC17" s="5">
        <f>(BV17+BW17/2+BX17/8+BY17/16+BZ17/4+CA17/32)*39</f>
        <v>2.4375</v>
      </c>
      <c r="CD17" s="5">
        <v>0</v>
      </c>
      <c r="CE17" s="5">
        <v>0</v>
      </c>
      <c r="CF17" s="5">
        <f>1/2</f>
        <v>0.5</v>
      </c>
      <c r="CG17" s="5">
        <v>0</v>
      </c>
      <c r="CH17" s="5">
        <v>0</v>
      </c>
      <c r="CI17" s="5">
        <v>0</v>
      </c>
      <c r="CJ17" s="5">
        <v>0</v>
      </c>
      <c r="CK17" s="5">
        <v>0</v>
      </c>
      <c r="CL17" s="5">
        <f>(CD17+CE17/2+CF17/8+CG17/16+CH17/4+CJ17/32+CK17/16)*39</f>
        <v>2.4375</v>
      </c>
      <c r="CM17" s="5">
        <v>0</v>
      </c>
      <c r="CN17" s="5">
        <v>0</v>
      </c>
      <c r="CO17" s="5">
        <v>0</v>
      </c>
      <c r="CP17" s="5">
        <v>0</v>
      </c>
      <c r="CQ17" s="5">
        <v>0</v>
      </c>
      <c r="CS17">
        <f>3/12</f>
        <v>0.25</v>
      </c>
      <c r="CT17">
        <v>1</v>
      </c>
      <c r="CU17">
        <v>0</v>
      </c>
      <c r="CV17">
        <f>1/2</f>
        <v>0.5</v>
      </c>
      <c r="CW17">
        <f>CS17+CT17/24+CU17/48+CV17/48</f>
        <v>0.30208333333333337</v>
      </c>
      <c r="CX17">
        <v>0</v>
      </c>
    </row>
    <row r="18" spans="1:114" x14ac:dyDescent="0.25">
      <c r="A18">
        <v>1291</v>
      </c>
      <c r="C18" t="s">
        <v>13</v>
      </c>
      <c r="D18" t="s">
        <v>1687</v>
      </c>
      <c r="E18" t="s">
        <v>170</v>
      </c>
      <c r="I18" t="s">
        <v>219</v>
      </c>
      <c r="J18">
        <v>1343</v>
      </c>
      <c r="K18" t="s">
        <v>1097</v>
      </c>
      <c r="L18">
        <v>10</v>
      </c>
      <c r="M18" s="7" t="s">
        <v>338</v>
      </c>
      <c r="N18" t="s">
        <v>1691</v>
      </c>
      <c r="V18" t="s">
        <v>1463</v>
      </c>
      <c r="W18" t="s">
        <v>225</v>
      </c>
      <c r="X18" t="s">
        <v>225</v>
      </c>
      <c r="Y18" t="s">
        <v>225</v>
      </c>
      <c r="Z18" s="5" t="s">
        <v>225</v>
      </c>
      <c r="AA18" s="5" t="s">
        <v>225</v>
      </c>
      <c r="AB18" s="5" t="s">
        <v>225</v>
      </c>
      <c r="AC18" s="5" t="s">
        <v>225</v>
      </c>
      <c r="AD18" s="5">
        <v>1</v>
      </c>
      <c r="AE18" s="5" t="s">
        <v>225</v>
      </c>
      <c r="AF18" s="5" t="s">
        <v>225</v>
      </c>
      <c r="AG18" s="5" t="s">
        <v>225</v>
      </c>
      <c r="AH18" s="5" t="s">
        <v>225</v>
      </c>
      <c r="AI18" s="5" t="s">
        <v>225</v>
      </c>
      <c r="AJ18" s="5" t="s">
        <v>225</v>
      </c>
      <c r="AK18" s="5" t="s">
        <v>225</v>
      </c>
      <c r="AL18" s="5" t="s">
        <v>225</v>
      </c>
      <c r="AM18" s="5" t="s">
        <v>225</v>
      </c>
      <c r="AN18" s="5" t="s">
        <v>225</v>
      </c>
      <c r="AO18" s="5" t="s">
        <v>225</v>
      </c>
      <c r="AP18" t="s">
        <v>225</v>
      </c>
      <c r="AQ18" s="5" t="s">
        <v>225</v>
      </c>
      <c r="AR18" s="5" t="s">
        <v>225</v>
      </c>
      <c r="AS18" s="5" t="s">
        <v>225</v>
      </c>
      <c r="AT18" s="5" t="s">
        <v>225</v>
      </c>
      <c r="AU18" s="5" t="s">
        <v>225</v>
      </c>
      <c r="AV18" s="5" t="s">
        <v>225</v>
      </c>
      <c r="AW18" s="5" t="s">
        <v>225</v>
      </c>
      <c r="AX18" s="5" t="s">
        <v>225</v>
      </c>
      <c r="AY18" t="s">
        <v>225</v>
      </c>
      <c r="AZ18" t="s">
        <v>225</v>
      </c>
      <c r="BA18" t="s">
        <v>225</v>
      </c>
      <c r="BB18" t="s">
        <v>225</v>
      </c>
      <c r="BC18" t="s">
        <v>225</v>
      </c>
      <c r="BD18" t="s">
        <v>225</v>
      </c>
      <c r="BE18" t="s">
        <v>225</v>
      </c>
      <c r="BF18" t="s">
        <v>225</v>
      </c>
      <c r="BG18" t="s">
        <v>225</v>
      </c>
      <c r="BH18" t="s">
        <v>225</v>
      </c>
      <c r="BI18" t="s">
        <v>225</v>
      </c>
      <c r="BJ18" t="s">
        <v>225</v>
      </c>
      <c r="BK18" t="s">
        <v>225</v>
      </c>
      <c r="BL18" s="5" t="s">
        <v>225</v>
      </c>
      <c r="BM18" s="5"/>
      <c r="BN18" s="5" t="s">
        <v>1683</v>
      </c>
      <c r="BR18" s="5">
        <v>0</v>
      </c>
      <c r="BS18" s="5">
        <v>0</v>
      </c>
      <c r="BT18" s="5">
        <v>0</v>
      </c>
      <c r="BU18" s="5">
        <f>(BS18/8+BT18/4)*39</f>
        <v>0</v>
      </c>
      <c r="BV18" s="5">
        <v>0</v>
      </c>
      <c r="BW18" s="5">
        <v>0</v>
      </c>
      <c r="BX18" s="5">
        <v>0</v>
      </c>
      <c r="BY18" s="5">
        <v>0</v>
      </c>
      <c r="BZ18" s="5">
        <v>0</v>
      </c>
      <c r="CA18" s="5">
        <v>0</v>
      </c>
      <c r="CB18" s="5">
        <v>0</v>
      </c>
      <c r="CC18" s="5">
        <f>(BV18+BW18/2+BX18/8+BY18/16+BZ18/4+CA18/32)*39</f>
        <v>0</v>
      </c>
      <c r="CD18" s="5">
        <v>0</v>
      </c>
      <c r="CE18" s="5">
        <v>0</v>
      </c>
      <c r="CF18" s="5">
        <v>0</v>
      </c>
      <c r="CG18" s="5">
        <v>0</v>
      </c>
      <c r="CH18" s="5">
        <v>0</v>
      </c>
      <c r="CI18" s="5">
        <v>0</v>
      </c>
      <c r="CJ18" s="5">
        <v>0</v>
      </c>
      <c r="CK18" s="5">
        <v>0</v>
      </c>
      <c r="CL18" s="5">
        <f>(CD18+CE18/2+CF18/8+CG18/16+CH18/4+CJ18/32+CK18/16)*39</f>
        <v>0</v>
      </c>
      <c r="CM18" s="5">
        <v>0</v>
      </c>
      <c r="CN18" s="5">
        <v>0</v>
      </c>
      <c r="CO18" s="5">
        <v>0</v>
      </c>
      <c r="CP18" s="5">
        <v>0</v>
      </c>
      <c r="CQ18" s="5">
        <v>0</v>
      </c>
      <c r="CS18">
        <f>3/12</f>
        <v>0.25</v>
      </c>
      <c r="CT18">
        <v>0</v>
      </c>
      <c r="CU18">
        <v>0</v>
      </c>
      <c r="CV18">
        <v>0</v>
      </c>
      <c r="CW18">
        <f>CS18+CT18/24+CU18/48+CV18/48</f>
        <v>0.25</v>
      </c>
      <c r="CX18">
        <v>0</v>
      </c>
      <c r="CZ18" t="s">
        <v>210</v>
      </c>
      <c r="DC18" t="s">
        <v>1645</v>
      </c>
      <c r="DD18" t="s">
        <v>693</v>
      </c>
      <c r="DE18" t="s">
        <v>263</v>
      </c>
      <c r="DF18" t="s">
        <v>1571</v>
      </c>
      <c r="DG18" t="s">
        <v>1666</v>
      </c>
    </row>
    <row r="19" spans="1:114" x14ac:dyDescent="0.25">
      <c r="A19">
        <v>1583</v>
      </c>
      <c r="C19" t="s">
        <v>43</v>
      </c>
      <c r="D19" t="s">
        <v>2769</v>
      </c>
      <c r="E19" t="s">
        <v>2018</v>
      </c>
      <c r="G19" t="s">
        <v>2770</v>
      </c>
      <c r="I19" t="s">
        <v>220</v>
      </c>
      <c r="J19" s="5">
        <v>1343</v>
      </c>
      <c r="K19" t="s">
        <v>817</v>
      </c>
      <c r="L19">
        <v>20</v>
      </c>
      <c r="M19" s="7" t="s">
        <v>338</v>
      </c>
      <c r="N19" t="s">
        <v>358</v>
      </c>
      <c r="P19" t="s">
        <v>225</v>
      </c>
      <c r="Q19" t="s">
        <v>205</v>
      </c>
      <c r="R19" t="s">
        <v>225</v>
      </c>
      <c r="S19" t="s">
        <v>205</v>
      </c>
      <c r="T19" t="s">
        <v>225</v>
      </c>
      <c r="V19" t="s">
        <v>1463</v>
      </c>
      <c r="W19" t="s">
        <v>225</v>
      </c>
      <c r="X19">
        <v>1</v>
      </c>
      <c r="Y19" t="s">
        <v>225</v>
      </c>
      <c r="Z19" t="s">
        <v>225</v>
      </c>
      <c r="AA19" t="s">
        <v>225</v>
      </c>
      <c r="AB19" t="s">
        <v>225</v>
      </c>
      <c r="AC19" t="s">
        <v>225</v>
      </c>
      <c r="AD19" t="s">
        <v>225</v>
      </c>
      <c r="AE19">
        <v>1</v>
      </c>
      <c r="AF19" t="s">
        <v>225</v>
      </c>
      <c r="AG19" t="s">
        <v>225</v>
      </c>
      <c r="AH19" t="s">
        <v>225</v>
      </c>
      <c r="AI19" t="s">
        <v>225</v>
      </c>
      <c r="AJ19" t="s">
        <v>225</v>
      </c>
      <c r="AK19" t="s">
        <v>225</v>
      </c>
      <c r="AL19">
        <v>1</v>
      </c>
      <c r="AM19" t="s">
        <v>225</v>
      </c>
      <c r="AN19" t="s">
        <v>225</v>
      </c>
      <c r="AO19" t="s">
        <v>225</v>
      </c>
      <c r="AP19">
        <v>4</v>
      </c>
      <c r="AQ19" t="s">
        <v>225</v>
      </c>
      <c r="AR19" t="s">
        <v>225</v>
      </c>
      <c r="AS19" t="s">
        <v>225</v>
      </c>
      <c r="AT19" t="s">
        <v>225</v>
      </c>
      <c r="AU19" t="s">
        <v>225</v>
      </c>
      <c r="AV19" t="s">
        <v>225</v>
      </c>
      <c r="AW19" t="s">
        <v>225</v>
      </c>
      <c r="AX19" t="s">
        <v>225</v>
      </c>
      <c r="AY19" t="s">
        <v>225</v>
      </c>
      <c r="AZ19" t="s">
        <v>225</v>
      </c>
      <c r="BA19" t="s">
        <v>225</v>
      </c>
      <c r="BB19" t="s">
        <v>225</v>
      </c>
      <c r="BC19" t="s">
        <v>225</v>
      </c>
      <c r="BD19" t="s">
        <v>225</v>
      </c>
      <c r="BE19" t="s">
        <v>225</v>
      </c>
      <c r="BF19" t="s">
        <v>225</v>
      </c>
      <c r="BG19" t="s">
        <v>225</v>
      </c>
      <c r="BH19" t="s">
        <v>225</v>
      </c>
      <c r="BI19" t="s">
        <v>225</v>
      </c>
      <c r="BJ19" t="s">
        <v>225</v>
      </c>
      <c r="BK19" t="s">
        <v>225</v>
      </c>
      <c r="BL19" t="s">
        <v>225</v>
      </c>
      <c r="BN19" t="s">
        <v>2776</v>
      </c>
      <c r="BO19" t="s">
        <v>2765</v>
      </c>
      <c r="BQ19" t="s">
        <v>539</v>
      </c>
      <c r="BR19" s="5">
        <f>1/6</f>
        <v>0.16666666666666666</v>
      </c>
      <c r="BS19" s="5">
        <v>0</v>
      </c>
      <c r="BT19" s="5">
        <v>0</v>
      </c>
      <c r="BU19" s="5">
        <f>(BS19/8+BT19/4)*39</f>
        <v>0</v>
      </c>
      <c r="BV19" s="5">
        <v>0</v>
      </c>
      <c r="BW19" s="5">
        <v>0</v>
      </c>
      <c r="BX19" s="5">
        <v>1</v>
      </c>
      <c r="BY19" s="5">
        <v>0</v>
      </c>
      <c r="BZ19" s="5">
        <v>0</v>
      </c>
      <c r="CA19" s="5">
        <v>0</v>
      </c>
      <c r="CB19" s="5">
        <v>0</v>
      </c>
      <c r="CC19" s="5">
        <f>(BV19+BW19/2+BX19/8+BY19/16+BZ19/4+CA19/32)*39</f>
        <v>4.875</v>
      </c>
      <c r="CD19" s="5">
        <v>0</v>
      </c>
      <c r="CE19" s="5">
        <v>0</v>
      </c>
      <c r="CF19" s="5">
        <f>1/2</f>
        <v>0.5</v>
      </c>
      <c r="CG19" s="5">
        <v>0</v>
      </c>
      <c r="CH19" s="5">
        <v>0</v>
      </c>
      <c r="CI19" s="5">
        <v>0</v>
      </c>
      <c r="CJ19" s="5">
        <v>0</v>
      </c>
      <c r="CK19" s="5">
        <v>0</v>
      </c>
      <c r="CL19" s="5">
        <f>(CD19+CE19/2+CF19/8+CG19/16+CH19/4+CJ19/32+CK19/16)*39</f>
        <v>2.4375</v>
      </c>
      <c r="CM19" s="5">
        <v>0</v>
      </c>
      <c r="CN19" s="5">
        <v>0</v>
      </c>
      <c r="CO19" s="5">
        <v>0</v>
      </c>
      <c r="CP19" s="5">
        <v>0</v>
      </c>
      <c r="CQ19" s="5">
        <v>0</v>
      </c>
      <c r="CR19" t="s">
        <v>764</v>
      </c>
      <c r="CS19">
        <f>12/12</f>
        <v>1</v>
      </c>
      <c r="CT19">
        <v>0</v>
      </c>
      <c r="CU19">
        <v>0</v>
      </c>
      <c r="CV19">
        <v>0</v>
      </c>
      <c r="CW19">
        <f>CS19+CT19/24+CU19/48+CV19/48</f>
        <v>1</v>
      </c>
      <c r="CX19">
        <v>0</v>
      </c>
      <c r="CY19" t="s">
        <v>248</v>
      </c>
      <c r="CZ19" t="s">
        <v>210</v>
      </c>
      <c r="DA19" t="s">
        <v>1733</v>
      </c>
      <c r="DB19" t="s">
        <v>2777</v>
      </c>
      <c r="DC19" t="s">
        <v>262</v>
      </c>
      <c r="DD19" t="s">
        <v>693</v>
      </c>
      <c r="DE19" t="s">
        <v>2778</v>
      </c>
      <c r="DF19" t="s">
        <v>2779</v>
      </c>
    </row>
    <row r="20" spans="1:114" x14ac:dyDescent="0.25">
      <c r="A20">
        <v>1511</v>
      </c>
      <c r="B20" t="s">
        <v>1708</v>
      </c>
      <c r="C20" t="s">
        <v>2559</v>
      </c>
      <c r="D20" t="s">
        <v>2560</v>
      </c>
      <c r="E20" t="s">
        <v>2562</v>
      </c>
      <c r="H20" t="s">
        <v>2561</v>
      </c>
      <c r="I20" t="s">
        <v>3219</v>
      </c>
      <c r="J20" s="16">
        <v>1342</v>
      </c>
      <c r="K20" s="16" t="s">
        <v>817</v>
      </c>
      <c r="L20" t="s">
        <v>15</v>
      </c>
      <c r="M20" s="7" t="s">
        <v>338</v>
      </c>
      <c r="N20" t="s">
        <v>2571</v>
      </c>
      <c r="V20" t="s">
        <v>1463</v>
      </c>
      <c r="W20" t="s">
        <v>225</v>
      </c>
      <c r="X20" t="s">
        <v>225</v>
      </c>
      <c r="Y20" t="s">
        <v>225</v>
      </c>
      <c r="Z20" t="s">
        <v>225</v>
      </c>
      <c r="AA20" t="s">
        <v>225</v>
      </c>
      <c r="AB20" t="s">
        <v>225</v>
      </c>
      <c r="AC20" t="s">
        <v>225</v>
      </c>
      <c r="AD20" t="s">
        <v>225</v>
      </c>
      <c r="AE20" t="s">
        <v>225</v>
      </c>
      <c r="AF20" t="s">
        <v>225</v>
      </c>
      <c r="AG20" t="s">
        <v>225</v>
      </c>
      <c r="AH20" t="s">
        <v>225</v>
      </c>
      <c r="AI20" t="s">
        <v>225</v>
      </c>
      <c r="AJ20" t="s">
        <v>225</v>
      </c>
      <c r="AK20" t="s">
        <v>225</v>
      </c>
      <c r="AL20" t="s">
        <v>225</v>
      </c>
      <c r="AM20" t="s">
        <v>225</v>
      </c>
      <c r="AN20" t="s">
        <v>225</v>
      </c>
      <c r="AO20" t="s">
        <v>225</v>
      </c>
      <c r="AP20" t="s">
        <v>225</v>
      </c>
      <c r="AQ20" t="s">
        <v>225</v>
      </c>
      <c r="AR20" t="s">
        <v>225</v>
      </c>
      <c r="AS20" t="s">
        <v>225</v>
      </c>
      <c r="AT20" t="s">
        <v>225</v>
      </c>
      <c r="AU20">
        <v>1</v>
      </c>
      <c r="AV20" t="s">
        <v>225</v>
      </c>
      <c r="AW20" t="s">
        <v>225</v>
      </c>
      <c r="AX20" t="s">
        <v>225</v>
      </c>
      <c r="AY20" t="s">
        <v>225</v>
      </c>
      <c r="AZ20" t="s">
        <v>225</v>
      </c>
      <c r="BA20" t="s">
        <v>225</v>
      </c>
      <c r="BB20" t="s">
        <v>225</v>
      </c>
      <c r="BC20" t="s">
        <v>225</v>
      </c>
      <c r="BD20" t="s">
        <v>225</v>
      </c>
      <c r="BE20" t="s">
        <v>225</v>
      </c>
      <c r="BF20" t="s">
        <v>225</v>
      </c>
      <c r="BG20" t="s">
        <v>225</v>
      </c>
      <c r="BH20" t="s">
        <v>225</v>
      </c>
      <c r="BI20" t="s">
        <v>225</v>
      </c>
      <c r="BJ20" t="s">
        <v>225</v>
      </c>
      <c r="BK20" t="s">
        <v>225</v>
      </c>
      <c r="BL20" t="s">
        <v>225</v>
      </c>
      <c r="BN20" t="s">
        <v>1153</v>
      </c>
      <c r="BP20" t="s">
        <v>1598</v>
      </c>
      <c r="BQ20" t="s">
        <v>1455</v>
      </c>
      <c r="BR20" s="5">
        <v>0</v>
      </c>
      <c r="BS20" s="5">
        <v>0</v>
      </c>
      <c r="BT20" s="5">
        <v>0</v>
      </c>
      <c r="BU20" s="5">
        <f>(BS20/8+BT20/4)*39</f>
        <v>0</v>
      </c>
      <c r="BV20" s="5">
        <v>2</v>
      </c>
      <c r="BW20" s="5">
        <v>0</v>
      </c>
      <c r="BX20" s="5">
        <v>0</v>
      </c>
      <c r="BY20" s="5">
        <v>0</v>
      </c>
      <c r="BZ20" s="5">
        <v>0</v>
      </c>
      <c r="CA20" s="5">
        <v>0</v>
      </c>
      <c r="CB20" s="5">
        <v>0</v>
      </c>
      <c r="CC20" s="5">
        <f>(BV20+BW20/2+BX20/8+BY20/16+BZ20/4+CA20/32)*39</f>
        <v>78</v>
      </c>
      <c r="CD20" s="5">
        <v>0</v>
      </c>
      <c r="CE20" s="5">
        <v>0</v>
      </c>
      <c r="CF20" s="5">
        <v>0</v>
      </c>
      <c r="CG20" s="5">
        <v>0</v>
      </c>
      <c r="CH20" s="5">
        <v>1</v>
      </c>
      <c r="CI20" s="5">
        <v>0</v>
      </c>
      <c r="CJ20" s="5">
        <v>0</v>
      </c>
      <c r="CK20" s="5">
        <v>0</v>
      </c>
      <c r="CL20" s="5">
        <f>(CD20+CE20/2+CF20/8+CG20/16+CH20/4+CJ20/32+CK20/16)*39</f>
        <v>9.75</v>
      </c>
      <c r="CM20" s="5">
        <v>0</v>
      </c>
      <c r="CN20" s="5">
        <v>0</v>
      </c>
      <c r="CO20" s="5">
        <v>0</v>
      </c>
      <c r="CP20" s="5">
        <v>0</v>
      </c>
      <c r="CQ20" s="5">
        <v>0</v>
      </c>
      <c r="CR20" t="s">
        <v>1153</v>
      </c>
      <c r="CS20">
        <v>0</v>
      </c>
      <c r="CT20">
        <v>0</v>
      </c>
      <c r="CU20">
        <v>0</v>
      </c>
      <c r="CV20">
        <v>0</v>
      </c>
      <c r="CW20">
        <f>CS20+CT20/24+CU20/48+CV20/48</f>
        <v>0</v>
      </c>
      <c r="CX20">
        <v>0</v>
      </c>
      <c r="CZ20" t="s">
        <v>210</v>
      </c>
      <c r="DB20" t="s">
        <v>767</v>
      </c>
      <c r="DC20" s="26" t="s">
        <v>1569</v>
      </c>
      <c r="DD20" t="s">
        <v>693</v>
      </c>
      <c r="DE20" t="s">
        <v>1230</v>
      </c>
      <c r="DF20" t="s">
        <v>2569</v>
      </c>
      <c r="DG20" t="s">
        <v>2570</v>
      </c>
      <c r="DJ20" t="s">
        <v>2568</v>
      </c>
    </row>
    <row r="21" spans="1:114" x14ac:dyDescent="0.25">
      <c r="A21">
        <v>1472</v>
      </c>
      <c r="C21" t="s">
        <v>37</v>
      </c>
      <c r="D21" s="15" t="s">
        <v>3809</v>
      </c>
      <c r="E21" t="s">
        <v>1810</v>
      </c>
      <c r="G21" t="s">
        <v>3806</v>
      </c>
      <c r="H21" t="s">
        <v>2417</v>
      </c>
      <c r="I21" t="s">
        <v>220</v>
      </c>
      <c r="J21" s="16">
        <v>1342</v>
      </c>
      <c r="K21" s="16" t="s">
        <v>817</v>
      </c>
      <c r="L21" t="s">
        <v>15</v>
      </c>
      <c r="M21" s="7" t="s">
        <v>338</v>
      </c>
      <c r="N21" t="s">
        <v>358</v>
      </c>
      <c r="P21" t="s">
        <v>225</v>
      </c>
      <c r="Q21" t="s">
        <v>205</v>
      </c>
      <c r="R21" t="s">
        <v>205</v>
      </c>
      <c r="S21" t="s">
        <v>205</v>
      </c>
      <c r="T21" t="s">
        <v>205</v>
      </c>
      <c r="W21">
        <v>1</v>
      </c>
      <c r="X21" t="s">
        <v>225</v>
      </c>
      <c r="Y21">
        <v>3</v>
      </c>
      <c r="Z21" t="s">
        <v>225</v>
      </c>
      <c r="AA21">
        <v>2</v>
      </c>
      <c r="AB21" t="s">
        <v>225</v>
      </c>
      <c r="AC21" t="s">
        <v>225</v>
      </c>
      <c r="AD21" t="s">
        <v>205</v>
      </c>
      <c r="AE21" t="s">
        <v>225</v>
      </c>
      <c r="AF21" t="s">
        <v>225</v>
      </c>
      <c r="AG21" t="s">
        <v>225</v>
      </c>
      <c r="AH21" t="s">
        <v>225</v>
      </c>
      <c r="AI21" t="s">
        <v>225</v>
      </c>
      <c r="AJ21" t="s">
        <v>225</v>
      </c>
      <c r="AK21" t="s">
        <v>225</v>
      </c>
      <c r="AL21" t="s">
        <v>225</v>
      </c>
      <c r="AM21" t="s">
        <v>225</v>
      </c>
      <c r="AN21" t="s">
        <v>205</v>
      </c>
      <c r="AO21" t="s">
        <v>225</v>
      </c>
      <c r="AP21" t="s">
        <v>205</v>
      </c>
      <c r="AQ21" t="s">
        <v>225</v>
      </c>
      <c r="AR21" t="s">
        <v>225</v>
      </c>
      <c r="AS21" t="s">
        <v>225</v>
      </c>
      <c r="AT21" t="s">
        <v>225</v>
      </c>
      <c r="AU21" t="s">
        <v>225</v>
      </c>
      <c r="AV21" t="s">
        <v>225</v>
      </c>
      <c r="AW21" t="s">
        <v>225</v>
      </c>
      <c r="AX21" t="s">
        <v>225</v>
      </c>
      <c r="AY21" t="s">
        <v>225</v>
      </c>
      <c r="AZ21" t="s">
        <v>225</v>
      </c>
      <c r="BA21" t="s">
        <v>225</v>
      </c>
      <c r="BB21" t="s">
        <v>225</v>
      </c>
      <c r="BC21" t="s">
        <v>225</v>
      </c>
      <c r="BD21" t="s">
        <v>225</v>
      </c>
      <c r="BE21" t="s">
        <v>225</v>
      </c>
      <c r="BF21" t="s">
        <v>225</v>
      </c>
      <c r="BG21" t="s">
        <v>225</v>
      </c>
      <c r="BH21" t="s">
        <v>225</v>
      </c>
      <c r="BI21" t="s">
        <v>225</v>
      </c>
      <c r="BJ21" t="s">
        <v>225</v>
      </c>
      <c r="BK21" t="s">
        <v>225</v>
      </c>
      <c r="BL21" t="s">
        <v>225</v>
      </c>
      <c r="BN21" t="s">
        <v>2415</v>
      </c>
      <c r="BP21" t="s">
        <v>2403</v>
      </c>
      <c r="BQ21" t="s">
        <v>539</v>
      </c>
      <c r="BR21" s="5">
        <f>1/2</f>
        <v>0.5</v>
      </c>
      <c r="BS21" s="5">
        <v>0</v>
      </c>
      <c r="BT21" s="5">
        <v>0</v>
      </c>
      <c r="BU21" s="5">
        <f>(BS21/8+BT21/4)*39</f>
        <v>0</v>
      </c>
      <c r="BV21" s="5">
        <v>0</v>
      </c>
      <c r="BW21" s="5">
        <v>0</v>
      </c>
      <c r="BX21" s="5">
        <v>0</v>
      </c>
      <c r="BY21" s="5">
        <v>1</v>
      </c>
      <c r="BZ21" s="5">
        <v>0</v>
      </c>
      <c r="CA21" s="5">
        <f>1/2</f>
        <v>0.5</v>
      </c>
      <c r="CB21" s="5">
        <v>0</v>
      </c>
      <c r="CC21" s="5">
        <f>(BV21+BW21/2+BX21/8+BY21/16+BZ21/4+CA21/32)*39</f>
        <v>3.046875</v>
      </c>
      <c r="CD21" s="5">
        <v>0</v>
      </c>
      <c r="CE21" s="5">
        <v>0</v>
      </c>
      <c r="CF21" s="5">
        <f>1/2</f>
        <v>0.5</v>
      </c>
      <c r="CG21" s="5">
        <v>0</v>
      </c>
      <c r="CH21" s="5">
        <v>0</v>
      </c>
      <c r="CI21" s="5">
        <v>0</v>
      </c>
      <c r="CJ21" s="5">
        <f>1/2</f>
        <v>0.5</v>
      </c>
      <c r="CK21" s="5">
        <v>0</v>
      </c>
      <c r="CL21" s="5">
        <f>(CD21+CE21/2+CF21/8+CG21/16+CH21/4+CJ21/32+CK21/16)*39</f>
        <v>3.046875</v>
      </c>
      <c r="CM21" s="5">
        <v>0</v>
      </c>
      <c r="CN21" s="5">
        <v>0</v>
      </c>
      <c r="CO21" s="5">
        <v>0</v>
      </c>
      <c r="CP21" s="5">
        <v>0</v>
      </c>
      <c r="CQ21" s="5">
        <v>0</v>
      </c>
      <c r="CR21" t="s">
        <v>2413</v>
      </c>
      <c r="CS21">
        <f>2+2/12</f>
        <v>2.1666666666666665</v>
      </c>
      <c r="CT21">
        <v>1</v>
      </c>
      <c r="CU21">
        <f>1/2</f>
        <v>0.5</v>
      </c>
      <c r="CV21">
        <v>0</v>
      </c>
      <c r="CW21">
        <f>CS21+CT21/24+CU21/48+CV21/48</f>
        <v>2.2187499999999996</v>
      </c>
      <c r="CX21">
        <v>0</v>
      </c>
      <c r="CY21" t="s">
        <v>248</v>
      </c>
      <c r="DA21" t="s">
        <v>1733</v>
      </c>
      <c r="DB21" t="s">
        <v>767</v>
      </c>
    </row>
    <row r="22" spans="1:114" x14ac:dyDescent="0.25">
      <c r="A22">
        <v>1411</v>
      </c>
      <c r="C22" t="s">
        <v>19</v>
      </c>
      <c r="D22" t="s">
        <v>2199</v>
      </c>
      <c r="E22" t="s">
        <v>3956</v>
      </c>
      <c r="I22" t="s">
        <v>219</v>
      </c>
      <c r="J22">
        <v>1343</v>
      </c>
      <c r="K22" t="s">
        <v>817</v>
      </c>
      <c r="L22">
        <v>12</v>
      </c>
      <c r="M22" s="8" t="s">
        <v>338</v>
      </c>
      <c r="N22" t="s">
        <v>236</v>
      </c>
      <c r="P22" t="s">
        <v>225</v>
      </c>
      <c r="Q22" t="s">
        <v>205</v>
      </c>
      <c r="R22" t="s">
        <v>205</v>
      </c>
      <c r="S22" t="s">
        <v>205</v>
      </c>
      <c r="T22" t="s">
        <v>225</v>
      </c>
      <c r="U22" t="s">
        <v>277</v>
      </c>
      <c r="W22" t="s">
        <v>205</v>
      </c>
      <c r="X22" t="s">
        <v>205</v>
      </c>
      <c r="Y22" t="s">
        <v>205</v>
      </c>
      <c r="Z22" t="s">
        <v>205</v>
      </c>
      <c r="AA22">
        <v>1</v>
      </c>
      <c r="AB22" t="s">
        <v>225</v>
      </c>
      <c r="AC22" t="s">
        <v>205</v>
      </c>
      <c r="AD22" t="s">
        <v>225</v>
      </c>
      <c r="AE22" t="s">
        <v>225</v>
      </c>
      <c r="AF22" t="s">
        <v>225</v>
      </c>
      <c r="AG22" t="s">
        <v>225</v>
      </c>
      <c r="AH22" t="s">
        <v>205</v>
      </c>
      <c r="AI22" t="s">
        <v>205</v>
      </c>
      <c r="AJ22" t="s">
        <v>225</v>
      </c>
      <c r="AK22" t="s">
        <v>225</v>
      </c>
      <c r="AL22" t="s">
        <v>225</v>
      </c>
      <c r="AM22" t="s">
        <v>225</v>
      </c>
      <c r="AN22" t="s">
        <v>225</v>
      </c>
      <c r="AO22" t="s">
        <v>225</v>
      </c>
      <c r="AP22" t="s">
        <v>225</v>
      </c>
      <c r="AQ22" t="s">
        <v>225</v>
      </c>
      <c r="AR22" t="s">
        <v>225</v>
      </c>
      <c r="AS22" t="s">
        <v>225</v>
      </c>
      <c r="AT22" t="s">
        <v>225</v>
      </c>
      <c r="AU22">
        <v>1</v>
      </c>
      <c r="AV22" t="s">
        <v>225</v>
      </c>
      <c r="AW22" t="s">
        <v>225</v>
      </c>
      <c r="AX22" t="s">
        <v>225</v>
      </c>
      <c r="AY22" t="s">
        <v>225</v>
      </c>
      <c r="AZ22" t="s">
        <v>225</v>
      </c>
      <c r="BA22" t="s">
        <v>225</v>
      </c>
      <c r="BB22" t="s">
        <v>225</v>
      </c>
      <c r="BC22" t="s">
        <v>225</v>
      </c>
      <c r="BD22" t="s">
        <v>225</v>
      </c>
      <c r="BE22" t="s">
        <v>225</v>
      </c>
      <c r="BF22" t="s">
        <v>225</v>
      </c>
      <c r="BG22" t="s">
        <v>225</v>
      </c>
      <c r="BH22" t="s">
        <v>225</v>
      </c>
      <c r="BI22" t="s">
        <v>225</v>
      </c>
      <c r="BJ22" t="s">
        <v>225</v>
      </c>
      <c r="BK22" t="s">
        <v>225</v>
      </c>
      <c r="BL22" t="s">
        <v>225</v>
      </c>
      <c r="BN22" s="5" t="s">
        <v>2223</v>
      </c>
      <c r="BQ22" t="s">
        <v>3564</v>
      </c>
      <c r="BR22" s="5">
        <v>0</v>
      </c>
      <c r="BS22" s="5">
        <v>0</v>
      </c>
      <c r="BT22" s="5">
        <v>0</v>
      </c>
      <c r="BU22" s="5">
        <f>(BS22/8+BT22/4)*39</f>
        <v>0</v>
      </c>
      <c r="BV22" s="5">
        <v>5</v>
      </c>
      <c r="BW22" s="5">
        <v>1</v>
      </c>
      <c r="BX22" s="5">
        <v>0</v>
      </c>
      <c r="BY22" s="5">
        <v>0</v>
      </c>
      <c r="BZ22" s="5">
        <v>0</v>
      </c>
      <c r="CA22" s="5">
        <v>0</v>
      </c>
      <c r="CB22" s="5">
        <v>0</v>
      </c>
      <c r="CC22" s="5">
        <f>(BV22+BW22/2+BX22/8+BY22/16+BZ22/4+CA22/32)*39</f>
        <v>214.5</v>
      </c>
      <c r="CD22" s="5">
        <v>1</v>
      </c>
      <c r="CE22" s="5">
        <v>0</v>
      </c>
      <c r="CF22" s="5">
        <v>0</v>
      </c>
      <c r="CG22" s="5">
        <f>3+3</f>
        <v>6</v>
      </c>
      <c r="CH22" s="5">
        <v>0</v>
      </c>
      <c r="CI22" s="5">
        <v>0</v>
      </c>
      <c r="CJ22" s="5">
        <f>1+1</f>
        <v>2</v>
      </c>
      <c r="CK22" s="5">
        <v>0</v>
      </c>
      <c r="CL22" s="5">
        <f>(CD22+CE22/2+CF22/8+CG22/16+CH22/4+CJ22/32+CK22/16)*39</f>
        <v>56.0625</v>
      </c>
      <c r="CM22" s="5">
        <v>0</v>
      </c>
      <c r="CN22" s="5">
        <v>0</v>
      </c>
      <c r="CO22" s="5">
        <v>0</v>
      </c>
      <c r="CP22" s="5">
        <v>0</v>
      </c>
      <c r="CQ22" s="5">
        <v>0</v>
      </c>
      <c r="CR22" t="s">
        <v>2224</v>
      </c>
      <c r="CS22">
        <f>45+9/12</f>
        <v>45.75</v>
      </c>
      <c r="CT22">
        <v>0</v>
      </c>
      <c r="CU22">
        <v>0</v>
      </c>
      <c r="CV22">
        <v>0</v>
      </c>
      <c r="CW22">
        <f>CS22+CT22/24+CU22/48+CV22/48</f>
        <v>45.75</v>
      </c>
      <c r="CX22">
        <v>0</v>
      </c>
      <c r="CZ22" t="s">
        <v>210</v>
      </c>
      <c r="DA22" t="s">
        <v>1733</v>
      </c>
      <c r="DB22" t="s">
        <v>2204</v>
      </c>
      <c r="DC22" t="s">
        <v>262</v>
      </c>
      <c r="DD22" t="s">
        <v>693</v>
      </c>
      <c r="DE22" t="s">
        <v>2226</v>
      </c>
      <c r="DF22" t="s">
        <v>372</v>
      </c>
    </row>
    <row r="23" spans="1:114" x14ac:dyDescent="0.25">
      <c r="A23">
        <v>521</v>
      </c>
      <c r="C23" t="s">
        <v>67</v>
      </c>
      <c r="D23" t="s">
        <v>558</v>
      </c>
      <c r="E23" t="s">
        <v>68</v>
      </c>
      <c r="G23" t="s">
        <v>581</v>
      </c>
      <c r="H23" t="s">
        <v>580</v>
      </c>
      <c r="I23" t="s">
        <v>219</v>
      </c>
      <c r="J23">
        <v>1343</v>
      </c>
      <c r="K23" t="s">
        <v>249</v>
      </c>
      <c r="L23">
        <v>23</v>
      </c>
      <c r="M23" s="7" t="s">
        <v>338</v>
      </c>
      <c r="N23" t="s">
        <v>236</v>
      </c>
      <c r="O23" t="s">
        <v>268</v>
      </c>
      <c r="P23" t="s">
        <v>225</v>
      </c>
      <c r="Q23" t="s">
        <v>205</v>
      </c>
      <c r="R23" t="s">
        <v>205</v>
      </c>
      <c r="S23" t="s">
        <v>205</v>
      </c>
      <c r="T23" t="s">
        <v>225</v>
      </c>
      <c r="V23" t="s">
        <v>204</v>
      </c>
      <c r="W23" t="s">
        <v>205</v>
      </c>
      <c r="X23" t="s">
        <v>205</v>
      </c>
      <c r="Y23" t="s">
        <v>205</v>
      </c>
      <c r="Z23" t="s">
        <v>205</v>
      </c>
      <c r="AA23" t="s">
        <v>205</v>
      </c>
      <c r="AB23" t="s">
        <v>205</v>
      </c>
      <c r="AC23" t="s">
        <v>205</v>
      </c>
      <c r="AD23" t="s">
        <v>225</v>
      </c>
      <c r="AE23" t="s">
        <v>225</v>
      </c>
      <c r="AF23" t="s">
        <v>225</v>
      </c>
      <c r="AG23" t="s">
        <v>225</v>
      </c>
      <c r="AH23" t="s">
        <v>205</v>
      </c>
      <c r="AI23" t="s">
        <v>225</v>
      </c>
      <c r="AJ23" t="s">
        <v>225</v>
      </c>
      <c r="AK23" t="s">
        <v>225</v>
      </c>
      <c r="AL23" s="2" t="s">
        <v>205</v>
      </c>
      <c r="AM23" t="s">
        <v>225</v>
      </c>
      <c r="AN23" t="s">
        <v>225</v>
      </c>
      <c r="AO23" t="s">
        <v>225</v>
      </c>
      <c r="AP23" t="s">
        <v>225</v>
      </c>
      <c r="AQ23" t="s">
        <v>225</v>
      </c>
      <c r="AR23" t="s">
        <v>225</v>
      </c>
      <c r="AS23" t="s">
        <v>225</v>
      </c>
      <c r="AT23" t="s">
        <v>225</v>
      </c>
      <c r="AU23" t="s">
        <v>225</v>
      </c>
      <c r="AV23" t="s">
        <v>225</v>
      </c>
      <c r="AW23" t="s">
        <v>225</v>
      </c>
      <c r="AX23" t="s">
        <v>225</v>
      </c>
      <c r="AY23" t="s">
        <v>225</v>
      </c>
      <c r="AZ23" t="s">
        <v>225</v>
      </c>
      <c r="BA23" t="s">
        <v>225</v>
      </c>
      <c r="BB23" t="s">
        <v>225</v>
      </c>
      <c r="BC23" t="s">
        <v>225</v>
      </c>
      <c r="BD23" t="s">
        <v>225</v>
      </c>
      <c r="BE23" t="s">
        <v>225</v>
      </c>
      <c r="BF23" t="s">
        <v>225</v>
      </c>
      <c r="BG23" t="s">
        <v>225</v>
      </c>
      <c r="BH23" t="s">
        <v>225</v>
      </c>
      <c r="BI23" t="s">
        <v>225</v>
      </c>
      <c r="BJ23" t="s">
        <v>225</v>
      </c>
      <c r="BK23" t="s">
        <v>225</v>
      </c>
      <c r="BL23" t="s">
        <v>205</v>
      </c>
      <c r="BO23" t="s">
        <v>561</v>
      </c>
      <c r="BP23" t="s">
        <v>559</v>
      </c>
      <c r="BQ23" t="s">
        <v>3563</v>
      </c>
      <c r="BR23">
        <v>1</v>
      </c>
      <c r="BS23">
        <v>0</v>
      </c>
      <c r="BT23">
        <v>0</v>
      </c>
      <c r="BU23" s="5">
        <f>(BS23/8+BT23/4)*39</f>
        <v>0</v>
      </c>
      <c r="BV23">
        <v>0</v>
      </c>
      <c r="BW23" s="5">
        <v>1</v>
      </c>
      <c r="BX23" s="5">
        <v>13</v>
      </c>
      <c r="BY23">
        <v>0</v>
      </c>
      <c r="BZ23">
        <v>0</v>
      </c>
      <c r="CA23">
        <v>0</v>
      </c>
      <c r="CB23">
        <v>0</v>
      </c>
      <c r="CC23" s="5">
        <f>(BV23+BW23/2+BX23/8+BY23/16+BZ23/4+CA23/32)*39</f>
        <v>82.875</v>
      </c>
      <c r="CD23" s="8">
        <v>0</v>
      </c>
      <c r="CE23" s="8">
        <v>0</v>
      </c>
      <c r="CF23" s="8">
        <v>0</v>
      </c>
      <c r="CG23">
        <v>0</v>
      </c>
      <c r="CH23" s="8">
        <v>0</v>
      </c>
      <c r="CI23">
        <v>0</v>
      </c>
      <c r="CJ23">
        <v>0</v>
      </c>
      <c r="CK23" s="8">
        <v>0</v>
      </c>
      <c r="CL23" s="5">
        <f>(CD23+CE23/2+CF23/8+CG23/16+CH23/4+CJ23/32+CK23/16)*39</f>
        <v>0</v>
      </c>
      <c r="CM23">
        <v>0</v>
      </c>
      <c r="CN23">
        <v>0</v>
      </c>
      <c r="CO23">
        <v>0</v>
      </c>
      <c r="CP23" s="8">
        <v>0</v>
      </c>
      <c r="CQ23" s="8">
        <v>0</v>
      </c>
      <c r="CS23">
        <f>7+11/12</f>
        <v>7.916666666666667</v>
      </c>
      <c r="CT23">
        <v>0</v>
      </c>
      <c r="CU23">
        <v>0</v>
      </c>
      <c r="CV23" s="8">
        <v>0</v>
      </c>
      <c r="CW23">
        <f>CS23+CT23/24+CU23/48+CV23/48</f>
        <v>7.916666666666667</v>
      </c>
      <c r="CX23">
        <v>0</v>
      </c>
      <c r="CZ23" t="s">
        <v>210</v>
      </c>
      <c r="DB23" t="s">
        <v>563</v>
      </c>
      <c r="DC23" t="s">
        <v>262</v>
      </c>
      <c r="DD23" t="s">
        <v>693</v>
      </c>
      <c r="DE23" t="s">
        <v>564</v>
      </c>
      <c r="DF23" t="s">
        <v>565</v>
      </c>
      <c r="DG23" t="s">
        <v>566</v>
      </c>
      <c r="DJ23" t="s">
        <v>483</v>
      </c>
    </row>
    <row r="24" spans="1:114" x14ac:dyDescent="0.25">
      <c r="A24">
        <v>1844</v>
      </c>
      <c r="C24" t="s">
        <v>3474</v>
      </c>
      <c r="D24" t="s">
        <v>558</v>
      </c>
      <c r="E24" t="s">
        <v>68</v>
      </c>
      <c r="G24" t="s">
        <v>3475</v>
      </c>
      <c r="I24" t="s">
        <v>3964</v>
      </c>
      <c r="J24" s="5">
        <v>1345</v>
      </c>
      <c r="K24" t="s">
        <v>3473</v>
      </c>
      <c r="L24">
        <v>11</v>
      </c>
      <c r="M24" s="7" t="s">
        <v>338</v>
      </c>
      <c r="N24" t="s">
        <v>358</v>
      </c>
      <c r="P24" t="s">
        <v>225</v>
      </c>
      <c r="Q24" t="s">
        <v>205</v>
      </c>
      <c r="R24" t="s">
        <v>225</v>
      </c>
      <c r="S24" t="s">
        <v>225</v>
      </c>
      <c r="T24" t="s">
        <v>225</v>
      </c>
      <c r="W24">
        <v>1</v>
      </c>
      <c r="X24" t="s">
        <v>205</v>
      </c>
      <c r="Y24" t="s">
        <v>225</v>
      </c>
      <c r="Z24" t="s">
        <v>225</v>
      </c>
      <c r="AA24" t="s">
        <v>205</v>
      </c>
      <c r="AB24" t="s">
        <v>225</v>
      </c>
      <c r="AC24" t="s">
        <v>225</v>
      </c>
      <c r="AD24" t="s">
        <v>225</v>
      </c>
      <c r="AE24" t="s">
        <v>225</v>
      </c>
      <c r="AF24" t="s">
        <v>225</v>
      </c>
      <c r="AG24" t="s">
        <v>225</v>
      </c>
      <c r="AH24" t="s">
        <v>225</v>
      </c>
      <c r="AI24" t="s">
        <v>225</v>
      </c>
      <c r="AJ24" t="s">
        <v>225</v>
      </c>
      <c r="AK24" t="s">
        <v>225</v>
      </c>
      <c r="AL24" t="s">
        <v>225</v>
      </c>
      <c r="AM24" t="s">
        <v>225</v>
      </c>
      <c r="AN24" t="s">
        <v>225</v>
      </c>
      <c r="AO24" t="s">
        <v>225</v>
      </c>
      <c r="AP24" t="s">
        <v>225</v>
      </c>
      <c r="AQ24" t="s">
        <v>225</v>
      </c>
      <c r="AR24" t="s">
        <v>225</v>
      </c>
      <c r="AS24" t="s">
        <v>225</v>
      </c>
      <c r="AT24" t="s">
        <v>225</v>
      </c>
      <c r="AU24" t="s">
        <v>225</v>
      </c>
      <c r="AV24" t="s">
        <v>225</v>
      </c>
      <c r="AW24" t="s">
        <v>225</v>
      </c>
      <c r="AX24" t="s">
        <v>225</v>
      </c>
      <c r="AY24" t="s">
        <v>225</v>
      </c>
      <c r="AZ24" t="s">
        <v>225</v>
      </c>
      <c r="BA24" t="s">
        <v>225</v>
      </c>
      <c r="BB24" t="s">
        <v>225</v>
      </c>
      <c r="BC24" t="s">
        <v>225</v>
      </c>
      <c r="BD24" t="s">
        <v>225</v>
      </c>
      <c r="BE24" t="s">
        <v>225</v>
      </c>
      <c r="BF24" t="s">
        <v>225</v>
      </c>
      <c r="BG24" t="s">
        <v>225</v>
      </c>
      <c r="BH24" t="s">
        <v>225</v>
      </c>
      <c r="BI24" t="s">
        <v>225</v>
      </c>
      <c r="BJ24" t="s">
        <v>225</v>
      </c>
      <c r="BK24" t="s">
        <v>225</v>
      </c>
      <c r="BL24" t="s">
        <v>205</v>
      </c>
      <c r="BN24" t="s">
        <v>389</v>
      </c>
      <c r="BO24" t="s">
        <v>571</v>
      </c>
      <c r="BQ24" s="1" t="s">
        <v>929</v>
      </c>
      <c r="BR24" s="5">
        <f>1/10</f>
        <v>0.1</v>
      </c>
      <c r="BS24" s="5">
        <v>0</v>
      </c>
      <c r="BT24" s="5">
        <v>0</v>
      </c>
      <c r="BU24" s="5">
        <f>(BS24/8+BT24/4)*39</f>
        <v>0</v>
      </c>
      <c r="BV24" s="5">
        <v>0</v>
      </c>
      <c r="BW24" s="5">
        <v>0</v>
      </c>
      <c r="BX24" s="5">
        <f>1+1/2</f>
        <v>1.5</v>
      </c>
      <c r="BY24" s="5">
        <v>0</v>
      </c>
      <c r="BZ24" s="5">
        <v>0</v>
      </c>
      <c r="CA24" s="5">
        <v>0</v>
      </c>
      <c r="CB24" s="5">
        <v>0</v>
      </c>
      <c r="CC24" s="5">
        <f>(BV24+BW24/2+BX24/8+BY24/16+BZ24/4+CA24/32)*39</f>
        <v>7.3125</v>
      </c>
      <c r="CD24" s="5">
        <v>0</v>
      </c>
      <c r="CE24" s="5">
        <v>0</v>
      </c>
      <c r="CF24" s="5">
        <f>1/2</f>
        <v>0.5</v>
      </c>
      <c r="CG24" s="5">
        <v>0</v>
      </c>
      <c r="CH24" s="5">
        <v>0</v>
      </c>
      <c r="CI24" s="5">
        <v>0</v>
      </c>
      <c r="CJ24" s="5">
        <v>0</v>
      </c>
      <c r="CK24" s="5">
        <v>0</v>
      </c>
      <c r="CL24" s="5">
        <f>(CD24+CE24/2+CF24/8+CG24/16+CH24/4+CJ24/32+CK24/16)*39</f>
        <v>2.4375</v>
      </c>
      <c r="CM24" s="5">
        <v>0</v>
      </c>
      <c r="CN24" s="5">
        <v>0</v>
      </c>
      <c r="CO24" s="5">
        <v>0</v>
      </c>
      <c r="CP24" s="5">
        <v>0</v>
      </c>
      <c r="CQ24" s="5">
        <v>0</v>
      </c>
      <c r="CS24">
        <f>10/12</f>
        <v>0.83333333333333337</v>
      </c>
      <c r="CT24">
        <v>0</v>
      </c>
      <c r="CU24">
        <v>0</v>
      </c>
      <c r="CV24">
        <v>0</v>
      </c>
      <c r="CW24">
        <f>CS24+CT24/24+CU24/48+CV24/48</f>
        <v>0.83333333333333337</v>
      </c>
      <c r="CX24">
        <v>0</v>
      </c>
      <c r="CZ24" t="s">
        <v>210</v>
      </c>
      <c r="DC24" t="s">
        <v>3476</v>
      </c>
      <c r="DD24" t="s">
        <v>693</v>
      </c>
      <c r="DE24" t="s">
        <v>3477</v>
      </c>
      <c r="DF24" t="s">
        <v>3478</v>
      </c>
    </row>
    <row r="25" spans="1:114" x14ac:dyDescent="0.25">
      <c r="A25">
        <v>531</v>
      </c>
      <c r="C25" t="s">
        <v>567</v>
      </c>
      <c r="D25" t="s">
        <v>568</v>
      </c>
      <c r="E25" t="s">
        <v>68</v>
      </c>
      <c r="G25" t="s">
        <v>569</v>
      </c>
      <c r="I25" t="s">
        <v>219</v>
      </c>
      <c r="J25">
        <v>1343</v>
      </c>
      <c r="K25" t="s">
        <v>249</v>
      </c>
      <c r="L25">
        <v>23</v>
      </c>
      <c r="M25" s="7" t="s">
        <v>338</v>
      </c>
      <c r="N25" t="s">
        <v>236</v>
      </c>
      <c r="O25" t="s">
        <v>201</v>
      </c>
      <c r="P25" t="s">
        <v>225</v>
      </c>
      <c r="Q25" t="s">
        <v>205</v>
      </c>
      <c r="R25" t="s">
        <v>205</v>
      </c>
      <c r="S25" t="s">
        <v>205</v>
      </c>
      <c r="T25" t="s">
        <v>225</v>
      </c>
      <c r="U25" t="s">
        <v>277</v>
      </c>
      <c r="V25" t="s">
        <v>204</v>
      </c>
      <c r="W25" t="s">
        <v>205</v>
      </c>
      <c r="X25" t="s">
        <v>205</v>
      </c>
      <c r="Y25" t="s">
        <v>205</v>
      </c>
      <c r="Z25" t="s">
        <v>205</v>
      </c>
      <c r="AA25" t="s">
        <v>225</v>
      </c>
      <c r="AB25" t="s">
        <v>205</v>
      </c>
      <c r="AC25" t="s">
        <v>205</v>
      </c>
      <c r="AD25" t="s">
        <v>225</v>
      </c>
      <c r="AE25" t="s">
        <v>205</v>
      </c>
      <c r="AF25" t="s">
        <v>205</v>
      </c>
      <c r="AG25" t="s">
        <v>225</v>
      </c>
      <c r="AH25" t="s">
        <v>205</v>
      </c>
      <c r="AI25" t="s">
        <v>225</v>
      </c>
      <c r="AJ25" t="s">
        <v>225</v>
      </c>
      <c r="AK25" t="s">
        <v>225</v>
      </c>
      <c r="AL25" t="s">
        <v>225</v>
      </c>
      <c r="AM25" t="s">
        <v>225</v>
      </c>
      <c r="AN25" t="s">
        <v>225</v>
      </c>
      <c r="AO25" t="s">
        <v>225</v>
      </c>
      <c r="AP25" t="s">
        <v>225</v>
      </c>
      <c r="AQ25" t="s">
        <v>225</v>
      </c>
      <c r="AR25" t="s">
        <v>225</v>
      </c>
      <c r="AS25" t="s">
        <v>225</v>
      </c>
      <c r="AT25" t="s">
        <v>225</v>
      </c>
      <c r="AU25" t="s">
        <v>225</v>
      </c>
      <c r="AV25" t="s">
        <v>225</v>
      </c>
      <c r="AW25" t="s">
        <v>225</v>
      </c>
      <c r="AX25" t="s">
        <v>225</v>
      </c>
      <c r="AY25" t="s">
        <v>225</v>
      </c>
      <c r="AZ25" t="s">
        <v>225</v>
      </c>
      <c r="BA25" t="s">
        <v>225</v>
      </c>
      <c r="BB25" t="s">
        <v>225</v>
      </c>
      <c r="BC25" t="s">
        <v>225</v>
      </c>
      <c r="BD25" t="s">
        <v>225</v>
      </c>
      <c r="BE25" t="s">
        <v>225</v>
      </c>
      <c r="BF25" t="s">
        <v>225</v>
      </c>
      <c r="BG25" t="s">
        <v>225</v>
      </c>
      <c r="BH25" t="s">
        <v>225</v>
      </c>
      <c r="BI25" t="s">
        <v>225</v>
      </c>
      <c r="BJ25" t="s">
        <v>225</v>
      </c>
      <c r="BK25" t="s">
        <v>225</v>
      </c>
      <c r="BL25" t="s">
        <v>205</v>
      </c>
      <c r="BO25" t="s">
        <v>571</v>
      </c>
      <c r="BQ25" t="s">
        <v>3563</v>
      </c>
      <c r="BR25">
        <v>1</v>
      </c>
      <c r="BS25">
        <v>0</v>
      </c>
      <c r="BT25">
        <v>0</v>
      </c>
      <c r="BU25" s="5">
        <f>(BS25/8+BT25/4)*39</f>
        <v>0</v>
      </c>
      <c r="BV25">
        <v>0</v>
      </c>
      <c r="BW25" s="5">
        <v>0</v>
      </c>
      <c r="BX25" s="5">
        <v>7</v>
      </c>
      <c r="BY25">
        <v>0</v>
      </c>
      <c r="BZ25">
        <v>0</v>
      </c>
      <c r="CA25">
        <v>0</v>
      </c>
      <c r="CB25">
        <v>0</v>
      </c>
      <c r="CC25" s="5">
        <f>(BV25+BW25/2+BX25/8+BY25/16+BZ25/4+CA25/32)*39</f>
        <v>34.125</v>
      </c>
      <c r="CD25" s="8">
        <v>0</v>
      </c>
      <c r="CE25" s="8">
        <v>0</v>
      </c>
      <c r="CF25" s="8">
        <f>1/2</f>
        <v>0.5</v>
      </c>
      <c r="CG25">
        <v>0</v>
      </c>
      <c r="CH25" s="8">
        <v>1</v>
      </c>
      <c r="CI25">
        <v>0</v>
      </c>
      <c r="CJ25">
        <v>0</v>
      </c>
      <c r="CK25" s="8">
        <v>0</v>
      </c>
      <c r="CL25" s="5">
        <f>(CD25+CE25/2+CF25/8+CG25/16+CH25/4+CJ25/32+CK25/16)*39</f>
        <v>12.1875</v>
      </c>
      <c r="CM25">
        <v>0</v>
      </c>
      <c r="CN25">
        <v>0</v>
      </c>
      <c r="CO25">
        <v>0</v>
      </c>
      <c r="CP25" s="8">
        <v>0</v>
      </c>
      <c r="CQ25" s="8">
        <v>0</v>
      </c>
      <c r="CS25" s="5">
        <v>4</v>
      </c>
      <c r="CT25">
        <f>-1</f>
        <v>-1</v>
      </c>
      <c r="CU25">
        <v>0</v>
      </c>
      <c r="CV25" s="8">
        <v>0</v>
      </c>
      <c r="CW25">
        <f>CS25+CT25/24+CU25/48+CV25/48</f>
        <v>3.9583333333333335</v>
      </c>
      <c r="CX25">
        <v>0</v>
      </c>
      <c r="CY25" t="s">
        <v>248</v>
      </c>
      <c r="CZ25" t="s">
        <v>210</v>
      </c>
      <c r="DC25" t="s">
        <v>262</v>
      </c>
      <c r="DD25" t="s">
        <v>693</v>
      </c>
      <c r="DE25" t="s">
        <v>572</v>
      </c>
      <c r="DF25" t="s">
        <v>573</v>
      </c>
      <c r="DG25" t="s">
        <v>574</v>
      </c>
    </row>
    <row r="26" spans="1:114" x14ac:dyDescent="0.25">
      <c r="A26">
        <v>1843</v>
      </c>
      <c r="C26" t="s">
        <v>37</v>
      </c>
      <c r="D26" t="s">
        <v>3464</v>
      </c>
      <c r="E26" t="s">
        <v>68</v>
      </c>
      <c r="I26" t="s">
        <v>220</v>
      </c>
      <c r="J26" s="5">
        <v>1344</v>
      </c>
      <c r="K26" t="s">
        <v>817</v>
      </c>
      <c r="L26">
        <v>20</v>
      </c>
      <c r="M26" s="7" t="s">
        <v>338</v>
      </c>
      <c r="N26" t="s">
        <v>358</v>
      </c>
      <c r="P26" t="s">
        <v>225</v>
      </c>
      <c r="Q26" t="s">
        <v>205</v>
      </c>
      <c r="R26" t="s">
        <v>205</v>
      </c>
      <c r="S26" t="s">
        <v>205</v>
      </c>
      <c r="T26" t="s">
        <v>225</v>
      </c>
      <c r="V26" t="s">
        <v>1463</v>
      </c>
      <c r="W26">
        <v>1</v>
      </c>
      <c r="X26" t="s">
        <v>205</v>
      </c>
      <c r="Y26" t="s">
        <v>205</v>
      </c>
      <c r="Z26" t="s">
        <v>205</v>
      </c>
      <c r="AA26" t="s">
        <v>205</v>
      </c>
      <c r="AB26" t="s">
        <v>205</v>
      </c>
      <c r="AC26" t="s">
        <v>205</v>
      </c>
      <c r="AD26" t="s">
        <v>225</v>
      </c>
      <c r="AE26" t="s">
        <v>205</v>
      </c>
      <c r="AF26" t="s">
        <v>205</v>
      </c>
      <c r="AG26" t="s">
        <v>225</v>
      </c>
      <c r="AH26" t="s">
        <v>225</v>
      </c>
      <c r="AI26" t="s">
        <v>225</v>
      </c>
      <c r="AJ26" t="s">
        <v>225</v>
      </c>
      <c r="AK26" t="s">
        <v>225</v>
      </c>
      <c r="AL26" t="s">
        <v>225</v>
      </c>
      <c r="AM26" t="s">
        <v>225</v>
      </c>
      <c r="AN26" t="s">
        <v>225</v>
      </c>
      <c r="AO26" t="s">
        <v>225</v>
      </c>
      <c r="AP26" t="s">
        <v>225</v>
      </c>
      <c r="AQ26" t="s">
        <v>225</v>
      </c>
      <c r="AR26" t="s">
        <v>225</v>
      </c>
      <c r="AS26" t="s">
        <v>225</v>
      </c>
      <c r="AT26" t="s">
        <v>225</v>
      </c>
      <c r="AU26" t="s">
        <v>225</v>
      </c>
      <c r="AV26" t="s">
        <v>225</v>
      </c>
      <c r="AW26" t="s">
        <v>225</v>
      </c>
      <c r="AX26" t="s">
        <v>225</v>
      </c>
      <c r="AY26" t="s">
        <v>225</v>
      </c>
      <c r="AZ26" t="s">
        <v>225</v>
      </c>
      <c r="BA26" t="s">
        <v>225</v>
      </c>
      <c r="BB26" t="s">
        <v>225</v>
      </c>
      <c r="BC26" t="s">
        <v>225</v>
      </c>
      <c r="BD26" t="s">
        <v>225</v>
      </c>
      <c r="BE26" t="s">
        <v>225</v>
      </c>
      <c r="BF26" t="s">
        <v>225</v>
      </c>
      <c r="BG26" t="s">
        <v>225</v>
      </c>
      <c r="BH26" t="s">
        <v>225</v>
      </c>
      <c r="BI26" t="s">
        <v>225</v>
      </c>
      <c r="BJ26" t="s">
        <v>225</v>
      </c>
      <c r="BK26" t="s">
        <v>225</v>
      </c>
      <c r="BL26" t="s">
        <v>205</v>
      </c>
      <c r="BO26" t="s">
        <v>3465</v>
      </c>
      <c r="BQ26" t="s">
        <v>3563</v>
      </c>
      <c r="BR26" s="5">
        <f>1/4</f>
        <v>0.25</v>
      </c>
      <c r="BS26" s="5">
        <v>0</v>
      </c>
      <c r="BT26" s="5">
        <v>0</v>
      </c>
      <c r="BU26" s="5">
        <f>(BS26/8+BT26/4)*39</f>
        <v>0</v>
      </c>
      <c r="BV26" s="5">
        <v>0</v>
      </c>
      <c r="BW26" s="5">
        <v>1</v>
      </c>
      <c r="BX26" s="5">
        <f>1/2</f>
        <v>0.5</v>
      </c>
      <c r="BY26" s="5">
        <v>0</v>
      </c>
      <c r="BZ26" s="5">
        <v>0</v>
      </c>
      <c r="CA26" s="5">
        <v>0</v>
      </c>
      <c r="CB26" s="5">
        <v>0</v>
      </c>
      <c r="CC26" s="5">
        <f>(BV26+BW26/2+BX26/8+BY26/16+BZ26/4+CA26/32)*39</f>
        <v>21.9375</v>
      </c>
      <c r="CD26" s="5">
        <v>0</v>
      </c>
      <c r="CE26" s="5">
        <v>0</v>
      </c>
      <c r="CF26" s="5">
        <f>1+1/2</f>
        <v>1.5</v>
      </c>
      <c r="CG26" s="5">
        <v>0</v>
      </c>
      <c r="CH26" s="5">
        <v>0</v>
      </c>
      <c r="CI26" s="5">
        <v>0</v>
      </c>
      <c r="CJ26" s="5">
        <v>0</v>
      </c>
      <c r="CK26" s="5">
        <v>0</v>
      </c>
      <c r="CL26" s="5">
        <f>(CD26+CE26/2+CF26/8+CG26/16+CH26/4+CJ26/32+CK26/16)*39</f>
        <v>7.3125</v>
      </c>
      <c r="CM26" s="5">
        <v>0</v>
      </c>
      <c r="CN26" s="5">
        <v>0</v>
      </c>
      <c r="CO26" s="5">
        <v>0</v>
      </c>
      <c r="CP26" s="5">
        <v>0</v>
      </c>
      <c r="CQ26" s="5">
        <v>0</v>
      </c>
      <c r="CS26">
        <f>18/12</f>
        <v>1.5</v>
      </c>
      <c r="CT26">
        <v>1</v>
      </c>
      <c r="CU26">
        <v>0</v>
      </c>
      <c r="CV26">
        <v>0</v>
      </c>
      <c r="CW26">
        <f>CS26+CT26/24+CU26/48+CV26/48</f>
        <v>1.5416666666666667</v>
      </c>
      <c r="CX26">
        <v>0</v>
      </c>
      <c r="CZ26" t="s">
        <v>210</v>
      </c>
      <c r="DC26" t="s">
        <v>262</v>
      </c>
      <c r="DD26" t="s">
        <v>693</v>
      </c>
      <c r="DE26" t="s">
        <v>926</v>
      </c>
      <c r="DF26" t="s">
        <v>3466</v>
      </c>
    </row>
    <row r="27" spans="1:114" x14ac:dyDescent="0.25">
      <c r="A27">
        <v>811</v>
      </c>
      <c r="C27" s="15" t="s">
        <v>988</v>
      </c>
      <c r="D27" t="s">
        <v>69</v>
      </c>
      <c r="E27" t="s">
        <v>68</v>
      </c>
      <c r="I27" t="s">
        <v>219</v>
      </c>
      <c r="J27">
        <v>1343</v>
      </c>
      <c r="K27" t="s">
        <v>973</v>
      </c>
      <c r="L27" s="5">
        <v>16</v>
      </c>
      <c r="M27" s="7" t="s">
        <v>338</v>
      </c>
      <c r="N27" t="s">
        <v>236</v>
      </c>
      <c r="O27" t="s">
        <v>201</v>
      </c>
      <c r="P27" t="s">
        <v>225</v>
      </c>
      <c r="Q27" s="19" t="s">
        <v>205</v>
      </c>
      <c r="R27" t="s">
        <v>205</v>
      </c>
      <c r="S27" t="s">
        <v>205</v>
      </c>
      <c r="T27" t="s">
        <v>225</v>
      </c>
      <c r="W27">
        <v>1</v>
      </c>
      <c r="X27">
        <v>1</v>
      </c>
      <c r="Y27" t="s">
        <v>205</v>
      </c>
      <c r="Z27" t="s">
        <v>225</v>
      </c>
      <c r="AA27" t="s">
        <v>205</v>
      </c>
      <c r="AB27" t="s">
        <v>225</v>
      </c>
      <c r="AC27" t="s">
        <v>205</v>
      </c>
      <c r="AD27" t="s">
        <v>205</v>
      </c>
      <c r="AE27" t="s">
        <v>225</v>
      </c>
      <c r="AF27" t="s">
        <v>225</v>
      </c>
      <c r="AG27" t="s">
        <v>225</v>
      </c>
      <c r="AH27" t="s">
        <v>205</v>
      </c>
      <c r="AI27" t="s">
        <v>225</v>
      </c>
      <c r="AJ27" t="s">
        <v>225</v>
      </c>
      <c r="AK27" t="s">
        <v>225</v>
      </c>
      <c r="AL27" t="s">
        <v>225</v>
      </c>
      <c r="AM27" t="s">
        <v>225</v>
      </c>
      <c r="AN27" t="s">
        <v>225</v>
      </c>
      <c r="AO27" t="s">
        <v>225</v>
      </c>
      <c r="AP27" t="s">
        <v>225</v>
      </c>
      <c r="AQ27" t="s">
        <v>225</v>
      </c>
      <c r="AR27" t="s">
        <v>225</v>
      </c>
      <c r="AS27" t="s">
        <v>225</v>
      </c>
      <c r="AT27" t="s">
        <v>225</v>
      </c>
      <c r="AU27" t="s">
        <v>225</v>
      </c>
      <c r="AV27" t="s">
        <v>225</v>
      </c>
      <c r="AW27" t="s">
        <v>225</v>
      </c>
      <c r="AX27" t="s">
        <v>225</v>
      </c>
      <c r="AY27" t="s">
        <v>225</v>
      </c>
      <c r="AZ27" t="s">
        <v>225</v>
      </c>
      <c r="BA27" t="s">
        <v>225</v>
      </c>
      <c r="BB27" t="s">
        <v>225</v>
      </c>
      <c r="BC27" t="s">
        <v>225</v>
      </c>
      <c r="BD27" t="s">
        <v>225</v>
      </c>
      <c r="BE27" t="s">
        <v>225</v>
      </c>
      <c r="BF27" t="s">
        <v>225</v>
      </c>
      <c r="BG27" t="s">
        <v>225</v>
      </c>
      <c r="BH27" t="s">
        <v>225</v>
      </c>
      <c r="BI27" t="s">
        <v>225</v>
      </c>
      <c r="BJ27" t="s">
        <v>225</v>
      </c>
      <c r="BK27" t="s">
        <v>225</v>
      </c>
      <c r="BL27" t="s">
        <v>225</v>
      </c>
      <c r="BN27" t="s">
        <v>1010</v>
      </c>
      <c r="BO27" t="s">
        <v>571</v>
      </c>
      <c r="BQ27" t="s">
        <v>3563</v>
      </c>
      <c r="BR27" s="5">
        <f>1/3</f>
        <v>0.33333333333333331</v>
      </c>
      <c r="BS27" s="5">
        <v>0</v>
      </c>
      <c r="BT27" s="5">
        <v>0</v>
      </c>
      <c r="BU27" s="5">
        <f>(BS27/8+BT27/4)*39</f>
        <v>0</v>
      </c>
      <c r="BV27" s="5">
        <v>0</v>
      </c>
      <c r="BW27" s="5">
        <v>0</v>
      </c>
      <c r="BX27" s="5">
        <v>5.5</v>
      </c>
      <c r="BY27" s="5">
        <v>0</v>
      </c>
      <c r="BZ27" s="5">
        <v>0</v>
      </c>
      <c r="CA27" s="5">
        <v>0</v>
      </c>
      <c r="CB27" s="5">
        <v>0</v>
      </c>
      <c r="CC27" s="5">
        <f>(BV27+BW27/2+BX27/8+BY27/16+BZ27/4+CA27/32)*39</f>
        <v>26.8125</v>
      </c>
      <c r="CD27" s="5">
        <v>0</v>
      </c>
      <c r="CE27" s="5">
        <v>0</v>
      </c>
      <c r="CF27" s="5">
        <f>1.5</f>
        <v>1.5</v>
      </c>
      <c r="CG27" s="5">
        <v>1</v>
      </c>
      <c r="CH27" s="5">
        <v>0</v>
      </c>
      <c r="CI27" s="5">
        <v>0</v>
      </c>
      <c r="CJ27" s="5">
        <v>0</v>
      </c>
      <c r="CK27" s="5">
        <v>0</v>
      </c>
      <c r="CL27" s="5">
        <f>(CD27+CE27/2+CF27/8+CG27/16+CH27/4+CJ27/32+CK27/16)*39</f>
        <v>9.75</v>
      </c>
      <c r="CM27" s="5">
        <v>0</v>
      </c>
      <c r="CN27" s="5">
        <v>0</v>
      </c>
      <c r="CO27" s="5">
        <v>0</v>
      </c>
      <c r="CP27" s="5">
        <v>0</v>
      </c>
      <c r="CQ27" s="5">
        <v>0</v>
      </c>
      <c r="CS27">
        <f>17/12</f>
        <v>1.4166666666666667</v>
      </c>
      <c r="CT27">
        <v>0</v>
      </c>
      <c r="CU27">
        <v>0</v>
      </c>
      <c r="CV27">
        <v>0</v>
      </c>
      <c r="CW27">
        <f>CS27+CT27/24+CU27/48+CV27/48</f>
        <v>1.4166666666666667</v>
      </c>
      <c r="CX27">
        <v>0</v>
      </c>
      <c r="CZ27" t="s">
        <v>210</v>
      </c>
      <c r="DB27" t="s">
        <v>994</v>
      </c>
      <c r="DC27" t="s">
        <v>539</v>
      </c>
      <c r="DD27" t="s">
        <v>693</v>
      </c>
      <c r="DE27" t="s">
        <v>573</v>
      </c>
      <c r="DF27" t="s">
        <v>995</v>
      </c>
      <c r="DG27" t="s">
        <v>996</v>
      </c>
    </row>
    <row r="28" spans="1:114" x14ac:dyDescent="0.25">
      <c r="A28">
        <v>881</v>
      </c>
      <c r="C28" t="s">
        <v>3752</v>
      </c>
      <c r="D28" t="s">
        <v>69</v>
      </c>
      <c r="E28" t="s">
        <v>68</v>
      </c>
      <c r="G28" t="s">
        <v>1116</v>
      </c>
      <c r="I28" t="s">
        <v>3219</v>
      </c>
      <c r="J28">
        <v>1343</v>
      </c>
      <c r="K28" t="s">
        <v>1082</v>
      </c>
      <c r="L28">
        <v>30</v>
      </c>
      <c r="M28" s="7" t="s">
        <v>338</v>
      </c>
      <c r="N28" t="s">
        <v>236</v>
      </c>
      <c r="P28" t="s">
        <v>225</v>
      </c>
      <c r="Q28" s="19" t="s">
        <v>205</v>
      </c>
      <c r="R28" t="s">
        <v>205</v>
      </c>
      <c r="S28" t="s">
        <v>205</v>
      </c>
      <c r="T28" t="s">
        <v>225</v>
      </c>
      <c r="U28" t="s">
        <v>277</v>
      </c>
      <c r="V28" t="s">
        <v>204</v>
      </c>
      <c r="W28" t="s">
        <v>205</v>
      </c>
      <c r="X28" t="s">
        <v>205</v>
      </c>
      <c r="Y28" t="s">
        <v>205</v>
      </c>
      <c r="Z28" t="s">
        <v>205</v>
      </c>
      <c r="AA28" t="s">
        <v>205</v>
      </c>
      <c r="AB28" t="s">
        <v>205</v>
      </c>
      <c r="AC28" t="s">
        <v>205</v>
      </c>
      <c r="AD28" t="s">
        <v>205</v>
      </c>
      <c r="AE28" t="s">
        <v>225</v>
      </c>
      <c r="AF28" t="s">
        <v>225</v>
      </c>
      <c r="AG28" t="s">
        <v>225</v>
      </c>
      <c r="AH28" t="s">
        <v>225</v>
      </c>
      <c r="AI28" t="s">
        <v>225</v>
      </c>
      <c r="AJ28" t="s">
        <v>225</v>
      </c>
      <c r="AK28" t="s">
        <v>225</v>
      </c>
      <c r="AL28" t="s">
        <v>225</v>
      </c>
      <c r="AM28" t="s">
        <v>225</v>
      </c>
      <c r="AN28" t="s">
        <v>225</v>
      </c>
      <c r="AO28" t="s">
        <v>225</v>
      </c>
      <c r="AP28" t="s">
        <v>225</v>
      </c>
      <c r="AQ28" t="s">
        <v>225</v>
      </c>
      <c r="AR28" t="s">
        <v>225</v>
      </c>
      <c r="AS28" t="s">
        <v>225</v>
      </c>
      <c r="AT28" t="s">
        <v>225</v>
      </c>
      <c r="AU28" t="s">
        <v>225</v>
      </c>
      <c r="AV28" t="s">
        <v>225</v>
      </c>
      <c r="AW28" t="s">
        <v>225</v>
      </c>
      <c r="AX28" t="s">
        <v>225</v>
      </c>
      <c r="AY28" t="s">
        <v>225</v>
      </c>
      <c r="AZ28" t="s">
        <v>225</v>
      </c>
      <c r="BA28" t="s">
        <v>225</v>
      </c>
      <c r="BB28" t="s">
        <v>225</v>
      </c>
      <c r="BC28" t="s">
        <v>225</v>
      </c>
      <c r="BD28" t="s">
        <v>225</v>
      </c>
      <c r="BE28" t="s">
        <v>225</v>
      </c>
      <c r="BF28" t="s">
        <v>225</v>
      </c>
      <c r="BG28" t="s">
        <v>225</v>
      </c>
      <c r="BH28" t="s">
        <v>225</v>
      </c>
      <c r="BI28" t="s">
        <v>225</v>
      </c>
      <c r="BJ28" t="s">
        <v>225</v>
      </c>
      <c r="BK28" t="s">
        <v>225</v>
      </c>
      <c r="BL28" t="s">
        <v>205</v>
      </c>
      <c r="BN28" t="s">
        <v>1133</v>
      </c>
      <c r="BO28" t="s">
        <v>571</v>
      </c>
      <c r="BQ28" t="s">
        <v>3563</v>
      </c>
      <c r="BR28" s="5">
        <v>1</v>
      </c>
      <c r="BS28" s="5">
        <v>0</v>
      </c>
      <c r="BT28" s="5">
        <v>0</v>
      </c>
      <c r="BU28" s="5">
        <f>(BS28/8+BT28/4)*39</f>
        <v>0</v>
      </c>
      <c r="BV28" s="5">
        <v>0</v>
      </c>
      <c r="BW28" s="5">
        <v>0</v>
      </c>
      <c r="BX28" s="5">
        <f>20+3+1/2+1</f>
        <v>24.5</v>
      </c>
      <c r="BY28" s="5">
        <v>0</v>
      </c>
      <c r="BZ28" s="5">
        <v>1</v>
      </c>
      <c r="CA28" s="5">
        <v>0</v>
      </c>
      <c r="CB28" s="5">
        <v>0</v>
      </c>
      <c r="CC28" s="5">
        <f>(BV28+BW28/2+BX28/8+BY28/16+BZ28/4+CA28/32)*39</f>
        <v>129.1875</v>
      </c>
      <c r="CD28" s="5">
        <v>0</v>
      </c>
      <c r="CE28" s="5">
        <v>0</v>
      </c>
      <c r="CF28" s="5">
        <f>6.5+1/2+1+1</f>
        <v>9</v>
      </c>
      <c r="CG28" s="5">
        <v>0</v>
      </c>
      <c r="CH28" s="5">
        <v>0</v>
      </c>
      <c r="CI28" s="5">
        <v>0</v>
      </c>
      <c r="CJ28" s="5">
        <f>-1/2</f>
        <v>-0.5</v>
      </c>
      <c r="CK28" s="5">
        <v>0</v>
      </c>
      <c r="CL28" s="5">
        <f>(CD28+CE28/2+CF28/8+CG28/16+CH28/4+CJ28/32+CK28/16)*39</f>
        <v>43.265625</v>
      </c>
      <c r="CM28" s="5">
        <v>0</v>
      </c>
      <c r="CN28" s="5">
        <v>0</v>
      </c>
      <c r="CO28" s="5">
        <v>0</v>
      </c>
      <c r="CP28" s="5">
        <v>0</v>
      </c>
      <c r="CQ28" s="5">
        <v>0</v>
      </c>
      <c r="CR28" t="s">
        <v>1129</v>
      </c>
      <c r="CS28">
        <f>7+10/12+20/12+16/12+1/12</f>
        <v>10.916666666666668</v>
      </c>
      <c r="CT28">
        <f>1+1</f>
        <v>2</v>
      </c>
      <c r="CU28">
        <v>0</v>
      </c>
      <c r="CV28">
        <v>0</v>
      </c>
      <c r="CW28">
        <f>CS28+CT28/24+CU28/48+CV28/48</f>
        <v>11.000000000000002</v>
      </c>
      <c r="CX28">
        <v>0</v>
      </c>
      <c r="CY28" t="s">
        <v>1117</v>
      </c>
      <c r="CZ28" t="s">
        <v>210</v>
      </c>
      <c r="DA28" t="s">
        <v>1134</v>
      </c>
      <c r="DB28" t="s">
        <v>405</v>
      </c>
      <c r="DC28" t="s">
        <v>1135</v>
      </c>
      <c r="DD28" t="s">
        <v>693</v>
      </c>
      <c r="DE28" t="s">
        <v>542</v>
      </c>
      <c r="DF28" t="s">
        <v>987</v>
      </c>
      <c r="DG28" t="s">
        <v>1136</v>
      </c>
      <c r="DJ28" t="s">
        <v>483</v>
      </c>
    </row>
    <row r="29" spans="1:114" x14ac:dyDescent="0.25">
      <c r="A29">
        <v>1841</v>
      </c>
      <c r="C29" t="s">
        <v>3459</v>
      </c>
      <c r="D29" t="s">
        <v>69</v>
      </c>
      <c r="E29" t="s">
        <v>68</v>
      </c>
      <c r="G29" t="s">
        <v>3460</v>
      </c>
      <c r="I29" t="s">
        <v>220</v>
      </c>
      <c r="J29" s="5">
        <v>1344</v>
      </c>
      <c r="K29" t="s">
        <v>817</v>
      </c>
      <c r="L29">
        <v>20</v>
      </c>
      <c r="M29" s="7" t="s">
        <v>338</v>
      </c>
      <c r="N29" t="s">
        <v>3461</v>
      </c>
      <c r="P29" t="s">
        <v>225</v>
      </c>
      <c r="Q29" t="s">
        <v>205</v>
      </c>
      <c r="R29" t="s">
        <v>205</v>
      </c>
      <c r="S29" t="s">
        <v>205</v>
      </c>
      <c r="T29" t="s">
        <v>225</v>
      </c>
      <c r="W29">
        <v>1</v>
      </c>
      <c r="X29" t="s">
        <v>205</v>
      </c>
      <c r="Y29" t="s">
        <v>225</v>
      </c>
      <c r="Z29" t="s">
        <v>205</v>
      </c>
      <c r="AA29" t="s">
        <v>225</v>
      </c>
      <c r="AB29" t="s">
        <v>225</v>
      </c>
      <c r="AC29" t="s">
        <v>225</v>
      </c>
      <c r="AD29" t="s">
        <v>205</v>
      </c>
      <c r="AE29" t="s">
        <v>225</v>
      </c>
      <c r="AF29" t="s">
        <v>225</v>
      </c>
      <c r="AG29" t="s">
        <v>225</v>
      </c>
      <c r="AH29" t="s">
        <v>225</v>
      </c>
      <c r="AI29" t="s">
        <v>225</v>
      </c>
      <c r="AJ29" t="s">
        <v>225</v>
      </c>
      <c r="AK29" t="s">
        <v>225</v>
      </c>
      <c r="AL29" t="s">
        <v>225</v>
      </c>
      <c r="AM29" t="s">
        <v>225</v>
      </c>
      <c r="AN29" t="s">
        <v>225</v>
      </c>
      <c r="AO29" t="s">
        <v>225</v>
      </c>
      <c r="AP29" t="s">
        <v>225</v>
      </c>
      <c r="AQ29" t="s">
        <v>225</v>
      </c>
      <c r="AR29" t="s">
        <v>225</v>
      </c>
      <c r="AS29" t="s">
        <v>225</v>
      </c>
      <c r="AT29" t="s">
        <v>225</v>
      </c>
      <c r="AU29" t="s">
        <v>225</v>
      </c>
      <c r="AV29" t="s">
        <v>225</v>
      </c>
      <c r="AW29" t="s">
        <v>225</v>
      </c>
      <c r="AX29" t="s">
        <v>225</v>
      </c>
      <c r="AY29" t="s">
        <v>225</v>
      </c>
      <c r="AZ29" t="s">
        <v>225</v>
      </c>
      <c r="BA29" t="s">
        <v>225</v>
      </c>
      <c r="BB29" t="s">
        <v>225</v>
      </c>
      <c r="BC29" t="s">
        <v>225</v>
      </c>
      <c r="BD29" t="s">
        <v>225</v>
      </c>
      <c r="BE29" t="s">
        <v>225</v>
      </c>
      <c r="BF29" t="s">
        <v>225</v>
      </c>
      <c r="BG29" t="s">
        <v>225</v>
      </c>
      <c r="BH29" t="s">
        <v>225</v>
      </c>
      <c r="BI29" t="s">
        <v>225</v>
      </c>
      <c r="BJ29" t="s">
        <v>225</v>
      </c>
      <c r="BK29" t="s">
        <v>225</v>
      </c>
      <c r="BL29" t="s">
        <v>225</v>
      </c>
      <c r="BN29" t="s">
        <v>833</v>
      </c>
      <c r="BO29" t="s">
        <v>571</v>
      </c>
      <c r="BQ29" t="s">
        <v>3563</v>
      </c>
      <c r="BR29" s="5">
        <f>1/16</f>
        <v>6.25E-2</v>
      </c>
      <c r="BS29" s="5">
        <v>0</v>
      </c>
      <c r="BT29" s="5">
        <v>0</v>
      </c>
      <c r="BU29" s="5">
        <f>(BS29/8+BT29/4)*39</f>
        <v>0</v>
      </c>
      <c r="BV29" s="5">
        <v>0</v>
      </c>
      <c r="BW29" s="5">
        <v>0</v>
      </c>
      <c r="BX29" s="5">
        <f>1+1/8</f>
        <v>1.125</v>
      </c>
      <c r="BY29" s="5">
        <v>0</v>
      </c>
      <c r="BZ29" s="5">
        <v>0</v>
      </c>
      <c r="CA29" s="5">
        <v>0</v>
      </c>
      <c r="CB29" s="5">
        <v>0</v>
      </c>
      <c r="CC29" s="5">
        <f>(BV29+BW29/2+BX29/8+BY29/16+BZ29/4+CA29/32)*39</f>
        <v>5.484375</v>
      </c>
      <c r="CD29" s="5">
        <v>0</v>
      </c>
      <c r="CE29" s="5">
        <v>0</v>
      </c>
      <c r="CF29" s="5">
        <f>1/4+1/8</f>
        <v>0.375</v>
      </c>
      <c r="CG29" s="5">
        <v>0</v>
      </c>
      <c r="CH29" s="5">
        <v>0</v>
      </c>
      <c r="CI29" s="5">
        <v>0</v>
      </c>
      <c r="CJ29" s="5">
        <v>0</v>
      </c>
      <c r="CK29" s="5">
        <v>0</v>
      </c>
      <c r="CL29" s="5">
        <f>(CD29+CE29/2+CF29/8+CG29/16+CH29/4+CJ29/32+CK29/16)*39</f>
        <v>1.828125</v>
      </c>
      <c r="CM29" s="5">
        <v>0</v>
      </c>
      <c r="CN29" s="5">
        <v>0</v>
      </c>
      <c r="CO29" s="5">
        <v>0</v>
      </c>
      <c r="CP29" s="5">
        <v>0</v>
      </c>
      <c r="CQ29" s="5">
        <v>0</v>
      </c>
      <c r="CS29">
        <f>4/12</f>
        <v>0.33333333333333331</v>
      </c>
      <c r="CT29">
        <f>1+1/4</f>
        <v>1.25</v>
      </c>
      <c r="CU29">
        <v>0</v>
      </c>
      <c r="CV29">
        <v>1</v>
      </c>
      <c r="CW29">
        <f>CS29+CT29/24+CU29/48+CV29/48</f>
        <v>0.40624999999999994</v>
      </c>
      <c r="CX29">
        <v>0</v>
      </c>
      <c r="CZ29" t="s">
        <v>210</v>
      </c>
      <c r="DC29" t="s">
        <v>262</v>
      </c>
      <c r="DD29" t="s">
        <v>693</v>
      </c>
      <c r="DE29" t="s">
        <v>926</v>
      </c>
      <c r="DF29" t="s">
        <v>3466</v>
      </c>
    </row>
    <row r="30" spans="1:114" x14ac:dyDescent="0.25">
      <c r="A30">
        <v>1842</v>
      </c>
      <c r="C30" t="s">
        <v>465</v>
      </c>
      <c r="D30" t="s">
        <v>69</v>
      </c>
      <c r="E30" t="s">
        <v>68</v>
      </c>
      <c r="G30" t="s">
        <v>3469</v>
      </c>
      <c r="H30" t="s">
        <v>3468</v>
      </c>
      <c r="I30" t="s">
        <v>219</v>
      </c>
      <c r="J30" s="5">
        <v>1345</v>
      </c>
      <c r="K30" s="5" t="s">
        <v>431</v>
      </c>
      <c r="L30" s="5">
        <v>29</v>
      </c>
      <c r="M30" s="7" t="s">
        <v>338</v>
      </c>
      <c r="N30" t="s">
        <v>1612</v>
      </c>
      <c r="P30" t="s">
        <v>225</v>
      </c>
      <c r="Q30" t="s">
        <v>205</v>
      </c>
      <c r="R30" t="s">
        <v>225</v>
      </c>
      <c r="S30" t="s">
        <v>205</v>
      </c>
      <c r="T30" t="s">
        <v>225</v>
      </c>
      <c r="U30" t="s">
        <v>3470</v>
      </c>
      <c r="V30" t="s">
        <v>1463</v>
      </c>
      <c r="W30" t="s">
        <v>205</v>
      </c>
      <c r="X30" t="s">
        <v>225</v>
      </c>
      <c r="Y30" t="s">
        <v>225</v>
      </c>
      <c r="Z30" t="s">
        <v>225</v>
      </c>
      <c r="AA30" t="s">
        <v>225</v>
      </c>
      <c r="AB30" t="s">
        <v>225</v>
      </c>
      <c r="AC30" t="s">
        <v>225</v>
      </c>
      <c r="AD30" t="s">
        <v>225</v>
      </c>
      <c r="AE30" t="s">
        <v>225</v>
      </c>
      <c r="AF30" t="s">
        <v>225</v>
      </c>
      <c r="AG30" t="s">
        <v>225</v>
      </c>
      <c r="AH30" t="s">
        <v>225</v>
      </c>
      <c r="AI30" t="s">
        <v>225</v>
      </c>
      <c r="AJ30" t="s">
        <v>225</v>
      </c>
      <c r="AK30" t="s">
        <v>225</v>
      </c>
      <c r="AL30" t="s">
        <v>225</v>
      </c>
      <c r="AM30" t="s">
        <v>225</v>
      </c>
      <c r="AN30" t="s">
        <v>225</v>
      </c>
      <c r="AO30" t="s">
        <v>225</v>
      </c>
      <c r="AP30" t="s">
        <v>225</v>
      </c>
      <c r="AQ30" t="s">
        <v>225</v>
      </c>
      <c r="AR30" t="s">
        <v>225</v>
      </c>
      <c r="AS30" t="s">
        <v>225</v>
      </c>
      <c r="AT30" t="s">
        <v>225</v>
      </c>
      <c r="AU30" t="s">
        <v>225</v>
      </c>
      <c r="AV30" t="s">
        <v>225</v>
      </c>
      <c r="AW30" t="s">
        <v>225</v>
      </c>
      <c r="AX30" t="s">
        <v>225</v>
      </c>
      <c r="AY30" t="s">
        <v>225</v>
      </c>
      <c r="AZ30" t="s">
        <v>225</v>
      </c>
      <c r="BA30" t="s">
        <v>225</v>
      </c>
      <c r="BB30" t="s">
        <v>225</v>
      </c>
      <c r="BC30" t="s">
        <v>225</v>
      </c>
      <c r="BD30" t="s">
        <v>225</v>
      </c>
      <c r="BE30" t="s">
        <v>225</v>
      </c>
      <c r="BF30" t="s">
        <v>225</v>
      </c>
      <c r="BG30" t="s">
        <v>225</v>
      </c>
      <c r="BH30" t="s">
        <v>225</v>
      </c>
      <c r="BI30" t="s">
        <v>225</v>
      </c>
      <c r="BJ30" t="s">
        <v>225</v>
      </c>
      <c r="BK30" t="s">
        <v>225</v>
      </c>
      <c r="BL30" t="s">
        <v>205</v>
      </c>
      <c r="BN30" t="s">
        <v>540</v>
      </c>
      <c r="BO30" t="s">
        <v>571</v>
      </c>
      <c r="BP30" t="s">
        <v>3389</v>
      </c>
      <c r="BQ30" t="s">
        <v>3563</v>
      </c>
      <c r="BR30" s="5">
        <f>1/12</f>
        <v>8.3333333333333329E-2</v>
      </c>
      <c r="BS30" s="5">
        <v>0</v>
      </c>
      <c r="BT30" s="5">
        <v>0</v>
      </c>
      <c r="BU30" s="5">
        <f>(BS30/8+BT30/4)*39</f>
        <v>0</v>
      </c>
      <c r="BV30" s="5">
        <v>0</v>
      </c>
      <c r="BW30" s="5">
        <v>0</v>
      </c>
      <c r="BX30" s="5">
        <f>3+1/6</f>
        <v>3.1666666666666665</v>
      </c>
      <c r="BY30" s="5">
        <v>0</v>
      </c>
      <c r="BZ30" s="5">
        <v>0</v>
      </c>
      <c r="CA30" s="5">
        <v>0</v>
      </c>
      <c r="CB30" s="5">
        <v>0</v>
      </c>
      <c r="CC30" s="5">
        <f>(BV30+BW30/2+BX30/8+BY30/16+BZ30/4+CA30/32)*39</f>
        <v>15.4375</v>
      </c>
      <c r="CD30" s="5">
        <v>0</v>
      </c>
      <c r="CE30" s="5">
        <v>0</v>
      </c>
      <c r="CF30" s="5">
        <f>1/3+1/6</f>
        <v>0.5</v>
      </c>
      <c r="CG30" s="5">
        <v>0</v>
      </c>
      <c r="CH30" s="5">
        <v>0</v>
      </c>
      <c r="CI30" s="5">
        <v>0</v>
      </c>
      <c r="CJ30" s="5">
        <v>0</v>
      </c>
      <c r="CK30" s="5">
        <v>0</v>
      </c>
      <c r="CL30" s="5">
        <f>(CD30+CE30/2+CF30/8+CG30/16+CH30/4+CJ30/32+CK30/16)*39</f>
        <v>2.4375</v>
      </c>
      <c r="CM30" s="5">
        <v>0</v>
      </c>
      <c r="CN30" s="5">
        <v>0</v>
      </c>
      <c r="CO30" s="5">
        <v>0</v>
      </c>
      <c r="CP30" s="5">
        <v>0</v>
      </c>
      <c r="CQ30" s="5">
        <v>0</v>
      </c>
      <c r="CS30">
        <f>12/12</f>
        <v>1</v>
      </c>
      <c r="CT30">
        <f>1+1/3</f>
        <v>1.3333333333333333</v>
      </c>
      <c r="CU30">
        <v>3</v>
      </c>
      <c r="CW30">
        <f>CS30+CT30/24+CU30/48+CV30/48</f>
        <v>1.1180555555555556</v>
      </c>
      <c r="DC30" t="s">
        <v>3476</v>
      </c>
      <c r="DD30" t="s">
        <v>693</v>
      </c>
      <c r="DE30" t="s">
        <v>526</v>
      </c>
      <c r="DF30" t="s">
        <v>3471</v>
      </c>
      <c r="DG30" t="s">
        <v>3472</v>
      </c>
    </row>
    <row r="31" spans="1:114" x14ac:dyDescent="0.25">
      <c r="A31">
        <v>1112</v>
      </c>
      <c r="B31" s="36" t="s">
        <v>1411</v>
      </c>
      <c r="C31" t="s">
        <v>11</v>
      </c>
      <c r="D31" t="s">
        <v>1405</v>
      </c>
      <c r="E31" t="s">
        <v>1406</v>
      </c>
      <c r="I31" t="s">
        <v>219</v>
      </c>
      <c r="J31">
        <v>1343</v>
      </c>
      <c r="K31" t="s">
        <v>973</v>
      </c>
      <c r="L31">
        <v>29</v>
      </c>
      <c r="M31" s="7" t="s">
        <v>338</v>
      </c>
      <c r="W31" t="s">
        <v>225</v>
      </c>
      <c r="X31" t="s">
        <v>225</v>
      </c>
      <c r="Y31">
        <v>1</v>
      </c>
      <c r="Z31" t="s">
        <v>225</v>
      </c>
      <c r="AA31" t="s">
        <v>225</v>
      </c>
      <c r="AB31" t="s">
        <v>225</v>
      </c>
      <c r="AC31" t="s">
        <v>225</v>
      </c>
      <c r="AD31" t="s">
        <v>225</v>
      </c>
      <c r="AE31" t="s">
        <v>225</v>
      </c>
      <c r="AF31" t="s">
        <v>225</v>
      </c>
      <c r="AG31" t="s">
        <v>225</v>
      </c>
      <c r="AH31" t="s">
        <v>225</v>
      </c>
      <c r="AI31" t="s">
        <v>225</v>
      </c>
      <c r="AJ31" t="s">
        <v>225</v>
      </c>
      <c r="AK31" t="s">
        <v>225</v>
      </c>
      <c r="AL31" t="s">
        <v>225</v>
      </c>
      <c r="AM31" t="s">
        <v>225</v>
      </c>
      <c r="AN31" t="s">
        <v>225</v>
      </c>
      <c r="AO31" t="s">
        <v>225</v>
      </c>
      <c r="AP31">
        <v>2</v>
      </c>
      <c r="AQ31" t="s">
        <v>225</v>
      </c>
      <c r="AR31" t="s">
        <v>225</v>
      </c>
      <c r="AS31" t="s">
        <v>225</v>
      </c>
      <c r="AT31" t="s">
        <v>225</v>
      </c>
      <c r="AU31" t="s">
        <v>225</v>
      </c>
      <c r="AV31" t="s">
        <v>225</v>
      </c>
      <c r="AW31" t="s">
        <v>225</v>
      </c>
      <c r="AX31" t="s">
        <v>225</v>
      </c>
      <c r="AY31" t="s">
        <v>225</v>
      </c>
      <c r="AZ31" t="s">
        <v>225</v>
      </c>
      <c r="BA31" t="s">
        <v>225</v>
      </c>
      <c r="BB31" t="s">
        <v>225</v>
      </c>
      <c r="BC31" t="s">
        <v>225</v>
      </c>
      <c r="BD31" t="s">
        <v>225</v>
      </c>
      <c r="BE31" t="s">
        <v>225</v>
      </c>
      <c r="BF31" t="s">
        <v>225</v>
      </c>
      <c r="BG31" t="s">
        <v>225</v>
      </c>
      <c r="BH31" t="s">
        <v>225</v>
      </c>
      <c r="BI31" t="s">
        <v>225</v>
      </c>
      <c r="BJ31" t="s">
        <v>225</v>
      </c>
      <c r="BK31" t="s">
        <v>225</v>
      </c>
      <c r="BL31" t="s">
        <v>225</v>
      </c>
      <c r="BN31" t="s">
        <v>398</v>
      </c>
      <c r="BR31" s="5">
        <v>0</v>
      </c>
      <c r="BS31" s="5"/>
      <c r="BT31" s="5"/>
      <c r="BU31" s="5">
        <f>(BS31/8+BT31/4)*39</f>
        <v>0</v>
      </c>
      <c r="BV31" s="5"/>
      <c r="BW31" s="5"/>
      <c r="BX31" s="5"/>
      <c r="BY31" s="5"/>
      <c r="BZ31" s="5"/>
      <c r="CA31" s="5"/>
      <c r="CB31" s="5"/>
      <c r="CC31" s="5">
        <f>(BV31+BW31/2+BX31/8+BY31/16+BZ31/4+CA31/32)*39</f>
        <v>0</v>
      </c>
      <c r="CD31" s="5"/>
      <c r="CE31" s="5"/>
      <c r="CF31" s="5"/>
      <c r="CG31" s="5"/>
      <c r="CH31" s="5"/>
      <c r="CI31" s="5"/>
      <c r="CJ31" s="5"/>
      <c r="CK31" s="5"/>
      <c r="CL31" s="5">
        <f>(CD31+CE31/2+CF31/8+CG31/16+CH31/4+CJ31/32+CK31/16)*39</f>
        <v>0</v>
      </c>
      <c r="CM31" s="5"/>
      <c r="CN31" s="5"/>
      <c r="CO31" s="5"/>
      <c r="CP31" s="5"/>
      <c r="CQ31" s="5"/>
      <c r="CW31">
        <f>CS31+CT31/24+CU31/48+CV31/48</f>
        <v>0</v>
      </c>
    </row>
    <row r="32" spans="1:114" x14ac:dyDescent="0.25">
      <c r="A32">
        <v>1124</v>
      </c>
      <c r="C32" t="s">
        <v>11</v>
      </c>
      <c r="D32" t="s">
        <v>1405</v>
      </c>
      <c r="E32" t="s">
        <v>1406</v>
      </c>
      <c r="I32" t="s">
        <v>219</v>
      </c>
      <c r="J32">
        <v>1343</v>
      </c>
      <c r="K32" t="s">
        <v>973</v>
      </c>
      <c r="L32">
        <v>29</v>
      </c>
      <c r="M32" s="7" t="s">
        <v>338</v>
      </c>
      <c r="BQ32" s="1" t="s">
        <v>1642</v>
      </c>
      <c r="BR32" s="5">
        <v>0</v>
      </c>
      <c r="BS32" s="5">
        <v>0</v>
      </c>
      <c r="BT32" s="5">
        <v>0</v>
      </c>
      <c r="BU32" s="5">
        <f>(BS32/8+BT32/4)*39</f>
        <v>0</v>
      </c>
      <c r="BV32" s="5">
        <v>0</v>
      </c>
      <c r="BW32" s="5">
        <v>0</v>
      </c>
      <c r="BX32" s="5">
        <f>1/2+1/6+1/2</f>
        <v>1.1666666666666665</v>
      </c>
      <c r="BY32" s="5">
        <v>0</v>
      </c>
      <c r="BZ32" s="5">
        <v>0</v>
      </c>
      <c r="CA32" s="5">
        <v>0</v>
      </c>
      <c r="CB32" s="5">
        <v>0</v>
      </c>
      <c r="CC32" s="5">
        <f>(BV32+BW32/2+BX32/8+BY32/16+BZ32/4+CA32/32)*39</f>
        <v>5.6874999999999991</v>
      </c>
      <c r="CD32" s="5">
        <v>0</v>
      </c>
      <c r="CE32" s="5">
        <v>0</v>
      </c>
      <c r="CF32" s="5">
        <f>1/2+1/6+1/2</f>
        <v>1.1666666666666665</v>
      </c>
      <c r="CG32" s="5">
        <v>0</v>
      </c>
      <c r="CH32" s="5">
        <v>0</v>
      </c>
      <c r="CI32" s="5">
        <v>0</v>
      </c>
      <c r="CJ32" s="5">
        <v>0</v>
      </c>
      <c r="CK32" s="5">
        <v>0</v>
      </c>
      <c r="CL32" s="5">
        <f>(CD32+CE32/2+CF32/8+CG32/16+CH32/4+CJ32/32+CK32/16)*39</f>
        <v>5.6874999999999991</v>
      </c>
      <c r="CM32" s="5">
        <v>0</v>
      </c>
      <c r="CN32" s="5">
        <v>0</v>
      </c>
      <c r="CO32" s="5">
        <v>0</v>
      </c>
      <c r="CP32" s="5">
        <v>0</v>
      </c>
      <c r="CQ32" s="5">
        <v>0</v>
      </c>
      <c r="CR32" t="s">
        <v>1444</v>
      </c>
      <c r="CS32">
        <f>5/12+3/12</f>
        <v>0.66666666666666674</v>
      </c>
      <c r="CT32">
        <v>0</v>
      </c>
      <c r="CU32">
        <v>0</v>
      </c>
      <c r="CV32">
        <v>1.5</v>
      </c>
      <c r="CW32">
        <f>CS32+CT32/24+CU32/48+CV32/48</f>
        <v>0.69791666666666674</v>
      </c>
      <c r="CX32">
        <v>0</v>
      </c>
    </row>
    <row r="33" spans="1:114" x14ac:dyDescent="0.25">
      <c r="A33">
        <v>1125</v>
      </c>
      <c r="C33" t="s">
        <v>50</v>
      </c>
      <c r="D33" t="s">
        <v>1405</v>
      </c>
      <c r="E33" t="s">
        <v>1406</v>
      </c>
      <c r="H33" t="s">
        <v>1442</v>
      </c>
      <c r="I33" t="s">
        <v>219</v>
      </c>
      <c r="J33">
        <v>1343</v>
      </c>
      <c r="K33" t="s">
        <v>973</v>
      </c>
      <c r="L33">
        <v>29</v>
      </c>
      <c r="M33" s="7" t="s">
        <v>338</v>
      </c>
      <c r="BP33" t="s">
        <v>1445</v>
      </c>
      <c r="BQ33" s="1" t="s">
        <v>1642</v>
      </c>
      <c r="BR33" s="5">
        <v>0</v>
      </c>
      <c r="BS33" s="5">
        <v>0</v>
      </c>
      <c r="BT33" s="5">
        <v>0</v>
      </c>
      <c r="BU33" s="5">
        <f>(BS33/8+BT33/4)*39</f>
        <v>0</v>
      </c>
      <c r="BV33" s="5">
        <v>0</v>
      </c>
      <c r="BW33" s="5">
        <v>0</v>
      </c>
      <c r="BX33" s="5">
        <f>1/2+1/6</f>
        <v>0.66666666666666663</v>
      </c>
      <c r="BY33" s="5">
        <v>0</v>
      </c>
      <c r="BZ33" s="5">
        <v>0</v>
      </c>
      <c r="CA33" s="5">
        <v>0</v>
      </c>
      <c r="CB33" s="5">
        <v>0</v>
      </c>
      <c r="CC33" s="5">
        <f>(BV33+BW33/2+BX33/8+BY33/16+BZ33/4+CA33/32)*39</f>
        <v>3.25</v>
      </c>
      <c r="CD33" s="5">
        <v>0</v>
      </c>
      <c r="CE33" s="5">
        <v>0</v>
      </c>
      <c r="CF33" s="5">
        <f>1/2+1/6</f>
        <v>0.66666666666666663</v>
      </c>
      <c r="CG33" s="5">
        <v>0</v>
      </c>
      <c r="CH33" s="5">
        <v>0</v>
      </c>
      <c r="CI33" s="5">
        <v>0</v>
      </c>
      <c r="CJ33" s="5">
        <v>0</v>
      </c>
      <c r="CK33" s="5">
        <v>0</v>
      </c>
      <c r="CL33" s="5">
        <f>(CD33+CE33/2+CF33/8+CG33/16+CH33/4+CJ33/32+CK33/16)*39</f>
        <v>3.25</v>
      </c>
      <c r="CM33" s="5">
        <v>0</v>
      </c>
      <c r="CN33" s="5">
        <v>0</v>
      </c>
      <c r="CO33" s="5">
        <v>0</v>
      </c>
      <c r="CP33" s="5">
        <v>0</v>
      </c>
      <c r="CQ33" s="5">
        <v>0</v>
      </c>
      <c r="CS33">
        <f>5/12</f>
        <v>0.41666666666666669</v>
      </c>
      <c r="CT33">
        <v>0</v>
      </c>
      <c r="CU33">
        <v>0</v>
      </c>
      <c r="CV33">
        <v>0</v>
      </c>
      <c r="CW33">
        <f>CS33+CT33/24+CU33/48+CV33/48</f>
        <v>0.41666666666666669</v>
      </c>
      <c r="CX33">
        <v>0</v>
      </c>
    </row>
    <row r="34" spans="1:114" x14ac:dyDescent="0.25">
      <c r="A34">
        <v>1111</v>
      </c>
      <c r="B34" s="36" t="s">
        <v>1411</v>
      </c>
      <c r="C34" t="s">
        <v>1407</v>
      </c>
      <c r="D34" t="s">
        <v>1408</v>
      </c>
      <c r="E34" t="s">
        <v>1406</v>
      </c>
      <c r="H34" t="s">
        <v>1409</v>
      </c>
      <c r="I34" t="s">
        <v>3219</v>
      </c>
      <c r="J34">
        <v>1343</v>
      </c>
      <c r="K34" t="s">
        <v>973</v>
      </c>
      <c r="L34">
        <v>29</v>
      </c>
      <c r="M34" s="7" t="s">
        <v>338</v>
      </c>
      <c r="Q34" s="19"/>
      <c r="BM34" s="5"/>
      <c r="BP34" t="s">
        <v>1598</v>
      </c>
      <c r="BR34" s="5">
        <v>0</v>
      </c>
      <c r="BS34" s="5"/>
      <c r="BT34" s="5"/>
      <c r="BU34" s="5">
        <f>(BS34/8+BT34/4)*39</f>
        <v>0</v>
      </c>
      <c r="BV34" s="5"/>
      <c r="BW34" s="5"/>
      <c r="BX34" s="5"/>
      <c r="BY34" s="5"/>
      <c r="BZ34" s="5"/>
      <c r="CA34" s="5"/>
      <c r="CB34" s="5"/>
      <c r="CC34" s="5">
        <f>(BV34+BW34/2+BX34/8+BY34/16+BZ34/4+CA34/32)*39</f>
        <v>0</v>
      </c>
      <c r="CD34" s="5"/>
      <c r="CE34" s="5"/>
      <c r="CF34" s="5"/>
      <c r="CG34" s="5"/>
      <c r="CH34" s="5"/>
      <c r="CI34" s="5"/>
      <c r="CJ34" s="5"/>
      <c r="CK34" s="5"/>
      <c r="CL34" s="5">
        <f>(CD34+CE34/2+CF34/8+CG34/16+CH34/4+CJ34/32+CK34/16)*39</f>
        <v>0</v>
      </c>
      <c r="CM34" s="5"/>
      <c r="CN34" s="5"/>
      <c r="CO34" s="5"/>
      <c r="CP34" s="5"/>
      <c r="CQ34" s="5"/>
      <c r="CW34">
        <f>CS34+CT34/24+CU34/48+CV34/48</f>
        <v>0</v>
      </c>
    </row>
    <row r="35" spans="1:114" x14ac:dyDescent="0.25">
      <c r="A35">
        <v>1121</v>
      </c>
      <c r="C35" t="s">
        <v>1421</v>
      </c>
      <c r="D35" t="s">
        <v>1422</v>
      </c>
      <c r="E35" t="s">
        <v>1406</v>
      </c>
      <c r="G35" t="s">
        <v>1420</v>
      </c>
      <c r="H35" t="s">
        <v>1423</v>
      </c>
      <c r="I35" t="s">
        <v>3219</v>
      </c>
      <c r="J35">
        <v>1343</v>
      </c>
      <c r="K35" t="s">
        <v>973</v>
      </c>
      <c r="L35">
        <v>29</v>
      </c>
      <c r="M35" s="7" t="s">
        <v>338</v>
      </c>
      <c r="W35" t="s">
        <v>225</v>
      </c>
      <c r="X35" t="s">
        <v>225</v>
      </c>
      <c r="Y35" t="s">
        <v>225</v>
      </c>
      <c r="Z35" t="s">
        <v>225</v>
      </c>
      <c r="AA35" t="s">
        <v>225</v>
      </c>
      <c r="AB35" t="s">
        <v>225</v>
      </c>
      <c r="AC35" t="s">
        <v>225</v>
      </c>
      <c r="AD35" t="s">
        <v>225</v>
      </c>
      <c r="AE35" t="s">
        <v>225</v>
      </c>
      <c r="AF35" t="s">
        <v>225</v>
      </c>
      <c r="AG35" t="s">
        <v>225</v>
      </c>
      <c r="AH35" t="s">
        <v>225</v>
      </c>
      <c r="AI35" t="s">
        <v>225</v>
      </c>
      <c r="AJ35" t="s">
        <v>225</v>
      </c>
      <c r="AK35" t="s">
        <v>225</v>
      </c>
      <c r="AL35" t="s">
        <v>225</v>
      </c>
      <c r="AM35" t="s">
        <v>225</v>
      </c>
      <c r="AN35" t="s">
        <v>225</v>
      </c>
      <c r="AO35" t="s">
        <v>225</v>
      </c>
      <c r="AP35" t="s">
        <v>225</v>
      </c>
      <c r="AQ35" t="s">
        <v>225</v>
      </c>
      <c r="AR35" t="s">
        <v>225</v>
      </c>
      <c r="AS35" t="s">
        <v>225</v>
      </c>
      <c r="AT35" t="s">
        <v>225</v>
      </c>
      <c r="AU35">
        <v>2</v>
      </c>
      <c r="AV35" t="s">
        <v>225</v>
      </c>
      <c r="AW35" t="s">
        <v>225</v>
      </c>
      <c r="AX35" t="s">
        <v>225</v>
      </c>
      <c r="AY35" t="s">
        <v>225</v>
      </c>
      <c r="AZ35" t="s">
        <v>225</v>
      </c>
      <c r="BA35" t="s">
        <v>225</v>
      </c>
      <c r="BB35" t="s">
        <v>225</v>
      </c>
      <c r="BC35" t="s">
        <v>225</v>
      </c>
      <c r="BD35" t="s">
        <v>225</v>
      </c>
      <c r="BE35" t="s">
        <v>225</v>
      </c>
      <c r="BF35" t="s">
        <v>225</v>
      </c>
      <c r="BG35" t="s">
        <v>225</v>
      </c>
      <c r="BH35" t="s">
        <v>225</v>
      </c>
      <c r="BI35" t="s">
        <v>225</v>
      </c>
      <c r="BJ35" t="s">
        <v>225</v>
      </c>
      <c r="BK35" t="s">
        <v>225</v>
      </c>
      <c r="BL35" t="s">
        <v>225</v>
      </c>
      <c r="BN35" t="s">
        <v>1432</v>
      </c>
      <c r="BP35" t="s">
        <v>1598</v>
      </c>
      <c r="BQ35" t="s">
        <v>3561</v>
      </c>
      <c r="BR35" s="5">
        <v>0</v>
      </c>
      <c r="BS35" s="5">
        <v>0</v>
      </c>
      <c r="BT35" s="5">
        <v>0</v>
      </c>
      <c r="BU35" s="5">
        <f>(BS35/8+BT35/4)*39</f>
        <v>0</v>
      </c>
      <c r="BV35" s="5">
        <v>0</v>
      </c>
      <c r="BW35" s="5">
        <v>0</v>
      </c>
      <c r="BX35" s="5">
        <v>6</v>
      </c>
      <c r="BY35" s="5">
        <v>0</v>
      </c>
      <c r="BZ35" s="5">
        <v>0</v>
      </c>
      <c r="CA35" s="5">
        <v>0</v>
      </c>
      <c r="CB35" s="5">
        <v>0</v>
      </c>
      <c r="CC35" s="5">
        <f>(BV35+BW35/2+BX35/8+BY35/16+BZ35/4+CA35/32)*39</f>
        <v>29.25</v>
      </c>
      <c r="CD35" s="5">
        <v>0</v>
      </c>
      <c r="CE35" s="5">
        <v>0</v>
      </c>
      <c r="CF35" s="5">
        <v>6</v>
      </c>
      <c r="CG35" s="5">
        <v>0</v>
      </c>
      <c r="CH35" s="5">
        <v>0</v>
      </c>
      <c r="CI35" s="5">
        <v>0</v>
      </c>
      <c r="CJ35" s="5">
        <v>0</v>
      </c>
      <c r="CK35" s="5">
        <v>0</v>
      </c>
      <c r="CL35" s="5">
        <f>(CD35+CE35/2+CF35/8+CG35/16+CH35/4+CJ35/32+CK35/16)*39</f>
        <v>29.25</v>
      </c>
      <c r="CM35" s="5">
        <v>0</v>
      </c>
      <c r="CN35" s="5">
        <v>0</v>
      </c>
      <c r="CO35" s="5">
        <v>0</v>
      </c>
      <c r="CP35" s="5">
        <v>0</v>
      </c>
      <c r="CQ35" s="5">
        <v>0</v>
      </c>
      <c r="CS35">
        <f>3+6/12</f>
        <v>3.5</v>
      </c>
      <c r="CT35">
        <v>0</v>
      </c>
      <c r="CU35">
        <v>0</v>
      </c>
      <c r="CV35">
        <v>0</v>
      </c>
      <c r="CW35">
        <f>CS35+CT35/24+CU35/48+CV35/48</f>
        <v>3.5</v>
      </c>
      <c r="CX35">
        <v>0</v>
      </c>
      <c r="CZ35" t="s">
        <v>210</v>
      </c>
      <c r="DA35" t="s">
        <v>1025</v>
      </c>
      <c r="DB35" t="s">
        <v>405</v>
      </c>
      <c r="DC35" t="s">
        <v>1433</v>
      </c>
      <c r="DD35" t="s">
        <v>693</v>
      </c>
      <c r="DE35" t="s">
        <v>1434</v>
      </c>
      <c r="DF35" t="s">
        <v>1435</v>
      </c>
      <c r="DG35" t="s">
        <v>1436</v>
      </c>
      <c r="DJ35" t="s">
        <v>1799</v>
      </c>
    </row>
    <row r="36" spans="1:114" x14ac:dyDescent="0.25">
      <c r="A36">
        <v>1182</v>
      </c>
      <c r="C36" t="s">
        <v>465</v>
      </c>
      <c r="D36" t="s">
        <v>2</v>
      </c>
      <c r="E36" t="s">
        <v>3899</v>
      </c>
      <c r="H36" t="s">
        <v>1589</v>
      </c>
      <c r="I36" t="s">
        <v>219</v>
      </c>
      <c r="J36">
        <v>1344</v>
      </c>
      <c r="K36" t="s">
        <v>817</v>
      </c>
      <c r="L36">
        <v>4</v>
      </c>
      <c r="M36" s="7" t="s">
        <v>338</v>
      </c>
      <c r="V36" t="s">
        <v>1463</v>
      </c>
      <c r="W36" t="s">
        <v>225</v>
      </c>
      <c r="X36" t="s">
        <v>225</v>
      </c>
      <c r="Y36" s="5">
        <v>1</v>
      </c>
      <c r="Z36" s="5" t="s">
        <v>225</v>
      </c>
      <c r="AA36" s="5" t="s">
        <v>225</v>
      </c>
      <c r="AB36" s="5" t="s">
        <v>225</v>
      </c>
      <c r="AC36" s="5" t="s">
        <v>225</v>
      </c>
      <c r="AD36" s="5" t="s">
        <v>225</v>
      </c>
      <c r="AE36" s="5" t="s">
        <v>225</v>
      </c>
      <c r="AF36" s="5" t="s">
        <v>225</v>
      </c>
      <c r="AG36" s="5" t="s">
        <v>225</v>
      </c>
      <c r="AH36" s="5" t="s">
        <v>225</v>
      </c>
      <c r="AI36" s="5" t="s">
        <v>225</v>
      </c>
      <c r="AJ36" s="5" t="s">
        <v>225</v>
      </c>
      <c r="AK36" s="5" t="s">
        <v>225</v>
      </c>
      <c r="AL36" s="5" t="s">
        <v>225</v>
      </c>
      <c r="AM36" s="5" t="s">
        <v>225</v>
      </c>
      <c r="AN36" s="5" t="s">
        <v>225</v>
      </c>
      <c r="AO36" s="5" t="s">
        <v>225</v>
      </c>
      <c r="AP36" s="5" t="s">
        <v>225</v>
      </c>
      <c r="AQ36" s="5" t="s">
        <v>225</v>
      </c>
      <c r="AR36" s="5" t="s">
        <v>225</v>
      </c>
      <c r="AS36" s="5" t="s">
        <v>225</v>
      </c>
      <c r="AT36" s="5" t="s">
        <v>225</v>
      </c>
      <c r="AU36" s="5" t="s">
        <v>225</v>
      </c>
      <c r="AV36" s="5" t="s">
        <v>225</v>
      </c>
      <c r="AW36" s="5" t="s">
        <v>225</v>
      </c>
      <c r="AX36" t="s">
        <v>225</v>
      </c>
      <c r="AY36" t="s">
        <v>225</v>
      </c>
      <c r="AZ36" t="s">
        <v>225</v>
      </c>
      <c r="BA36" t="s">
        <v>225</v>
      </c>
      <c r="BB36" t="s">
        <v>225</v>
      </c>
      <c r="BC36" t="s">
        <v>225</v>
      </c>
      <c r="BD36" t="s">
        <v>225</v>
      </c>
      <c r="BE36" t="s">
        <v>225</v>
      </c>
      <c r="BF36" t="s">
        <v>225</v>
      </c>
      <c r="BG36" t="s">
        <v>225</v>
      </c>
      <c r="BH36" t="s">
        <v>225</v>
      </c>
      <c r="BI36" t="s">
        <v>225</v>
      </c>
      <c r="BJ36" t="s">
        <v>225</v>
      </c>
      <c r="BK36" t="s">
        <v>225</v>
      </c>
      <c r="BL36" s="5" t="s">
        <v>225</v>
      </c>
      <c r="BN36" s="5" t="s">
        <v>398</v>
      </c>
      <c r="BP36" t="s">
        <v>467</v>
      </c>
      <c r="BR36" s="5">
        <v>0</v>
      </c>
      <c r="BS36" s="5">
        <v>0</v>
      </c>
      <c r="BT36" s="5">
        <v>0</v>
      </c>
      <c r="BU36" s="5">
        <f>(BS36/8+BT36/4)*39</f>
        <v>0</v>
      </c>
      <c r="BV36" s="5">
        <v>0</v>
      </c>
      <c r="BW36" s="5">
        <v>0</v>
      </c>
      <c r="BX36" s="5">
        <v>0</v>
      </c>
      <c r="BY36" s="5">
        <v>0</v>
      </c>
      <c r="BZ36" s="5">
        <v>0</v>
      </c>
      <c r="CA36" s="5">
        <v>0</v>
      </c>
      <c r="CB36" s="5">
        <v>0</v>
      </c>
      <c r="CC36" s="5">
        <f>(BV36+BW36/2+BX36/8+BY36/16+BZ36/4+CA36/32)*39</f>
        <v>0</v>
      </c>
      <c r="CD36" s="5">
        <v>0</v>
      </c>
      <c r="CE36" s="5">
        <v>0</v>
      </c>
      <c r="CF36" s="5">
        <v>0</v>
      </c>
      <c r="CG36" s="5">
        <v>0</v>
      </c>
      <c r="CH36" s="5">
        <v>0</v>
      </c>
      <c r="CI36" s="5">
        <v>0</v>
      </c>
      <c r="CJ36" s="5">
        <v>0</v>
      </c>
      <c r="CK36" s="5">
        <v>0</v>
      </c>
      <c r="CL36" s="5">
        <f>(CD36+CE36/2+CF36/8+CG36/16+CH36/4+CJ36/32+CK36/16)*39</f>
        <v>0</v>
      </c>
      <c r="CM36" s="5">
        <v>0</v>
      </c>
      <c r="CN36" s="5">
        <v>0</v>
      </c>
      <c r="CO36" s="5">
        <v>0</v>
      </c>
      <c r="CP36" s="5">
        <v>0</v>
      </c>
      <c r="CQ36" s="5">
        <v>0</v>
      </c>
      <c r="CR36" t="s">
        <v>398</v>
      </c>
      <c r="CS36">
        <f>9/12</f>
        <v>0.75</v>
      </c>
      <c r="CT36">
        <v>0</v>
      </c>
      <c r="CU36">
        <v>0</v>
      </c>
      <c r="CV36">
        <v>0</v>
      </c>
      <c r="CW36">
        <f>CS36+CT36/24+CU36/48+CV36/48</f>
        <v>0.75</v>
      </c>
      <c r="CX36">
        <v>0</v>
      </c>
      <c r="CZ36" t="s">
        <v>210</v>
      </c>
      <c r="DA36" t="s">
        <v>1359</v>
      </c>
      <c r="DB36" t="s">
        <v>405</v>
      </c>
      <c r="DC36" t="s">
        <v>262</v>
      </c>
      <c r="DD36" t="s">
        <v>693</v>
      </c>
      <c r="DE36" t="s">
        <v>1593</v>
      </c>
      <c r="DF36" t="s">
        <v>1594</v>
      </c>
      <c r="DJ36" t="s">
        <v>1798</v>
      </c>
    </row>
    <row r="37" spans="1:114" x14ac:dyDescent="0.25">
      <c r="A37">
        <v>873</v>
      </c>
      <c r="B37" t="s">
        <v>788</v>
      </c>
      <c r="C37" t="s">
        <v>11</v>
      </c>
      <c r="D37" t="s">
        <v>132</v>
      </c>
      <c r="E37" t="s">
        <v>776</v>
      </c>
      <c r="G37" t="s">
        <v>1098</v>
      </c>
      <c r="H37" t="s">
        <v>1099</v>
      </c>
      <c r="I37" t="s">
        <v>219</v>
      </c>
      <c r="J37">
        <v>1343</v>
      </c>
      <c r="K37" t="s">
        <v>1097</v>
      </c>
      <c r="L37">
        <v>31</v>
      </c>
      <c r="M37" s="7" t="s">
        <v>338</v>
      </c>
      <c r="V37" t="s">
        <v>204</v>
      </c>
      <c r="W37" t="s">
        <v>225</v>
      </c>
      <c r="X37">
        <v>1</v>
      </c>
      <c r="Y37">
        <v>3</v>
      </c>
      <c r="Z37" t="s">
        <v>225</v>
      </c>
      <c r="AA37" t="s">
        <v>225</v>
      </c>
      <c r="AB37" t="s">
        <v>225</v>
      </c>
      <c r="AC37">
        <v>1</v>
      </c>
      <c r="AD37" t="s">
        <v>225</v>
      </c>
      <c r="AE37" t="s">
        <v>225</v>
      </c>
      <c r="AF37" t="s">
        <v>225</v>
      </c>
      <c r="AG37" t="s">
        <v>225</v>
      </c>
      <c r="AH37" t="s">
        <v>225</v>
      </c>
      <c r="AI37" t="s">
        <v>225</v>
      </c>
      <c r="AJ37" t="s">
        <v>225</v>
      </c>
      <c r="AK37" t="s">
        <v>225</v>
      </c>
      <c r="AL37" t="s">
        <v>225</v>
      </c>
      <c r="AM37" t="s">
        <v>225</v>
      </c>
      <c r="AN37" t="s">
        <v>225</v>
      </c>
      <c r="AO37" t="s">
        <v>225</v>
      </c>
      <c r="AP37">
        <v>1</v>
      </c>
      <c r="AQ37" t="s">
        <v>225</v>
      </c>
      <c r="AR37" t="s">
        <v>225</v>
      </c>
      <c r="AS37" t="s">
        <v>225</v>
      </c>
      <c r="AT37" t="s">
        <v>225</v>
      </c>
      <c r="AU37" t="s">
        <v>225</v>
      </c>
      <c r="AV37" t="s">
        <v>225</v>
      </c>
      <c r="AW37" t="s">
        <v>225</v>
      </c>
      <c r="AX37" t="s">
        <v>225</v>
      </c>
      <c r="AY37" t="s">
        <v>225</v>
      </c>
      <c r="AZ37" t="s">
        <v>225</v>
      </c>
      <c r="BA37" t="s">
        <v>225</v>
      </c>
      <c r="BB37" t="s">
        <v>225</v>
      </c>
      <c r="BC37" t="s">
        <v>225</v>
      </c>
      <c r="BD37" t="s">
        <v>225</v>
      </c>
      <c r="BE37" t="s">
        <v>225</v>
      </c>
      <c r="BF37" t="s">
        <v>225</v>
      </c>
      <c r="BG37" t="s">
        <v>225</v>
      </c>
      <c r="BH37" t="s">
        <v>225</v>
      </c>
      <c r="BI37" t="s">
        <v>225</v>
      </c>
      <c r="BJ37" t="s">
        <v>225</v>
      </c>
      <c r="BK37" t="s">
        <v>225</v>
      </c>
      <c r="BL37" t="s">
        <v>225</v>
      </c>
      <c r="BN37" t="s">
        <v>1112</v>
      </c>
      <c r="BP37" t="s">
        <v>559</v>
      </c>
      <c r="BQ37" t="s">
        <v>1455</v>
      </c>
      <c r="BR37" s="5">
        <v>0</v>
      </c>
      <c r="BS37" s="5">
        <v>1</v>
      </c>
      <c r="BT37" s="5">
        <v>0</v>
      </c>
      <c r="BU37" s="5">
        <f>(BS37/8+BT37/4)*39</f>
        <v>4.875</v>
      </c>
      <c r="BV37" s="5">
        <v>0</v>
      </c>
      <c r="BW37" s="5">
        <v>0</v>
      </c>
      <c r="BX37" s="5">
        <v>0</v>
      </c>
      <c r="BY37" s="5">
        <v>0</v>
      </c>
      <c r="BZ37" s="5">
        <v>0</v>
      </c>
      <c r="CA37" s="5">
        <v>0</v>
      </c>
      <c r="CB37" s="5">
        <v>0</v>
      </c>
      <c r="CC37" s="5">
        <f>(BV37+BW37/2+BX37/8+BY37/16+BZ37/4+CA37/32)*39</f>
        <v>0</v>
      </c>
      <c r="CD37" s="5">
        <v>0</v>
      </c>
      <c r="CE37" s="5">
        <v>0</v>
      </c>
      <c r="CF37" s="5">
        <v>1</v>
      </c>
      <c r="CG37" s="5">
        <v>0</v>
      </c>
      <c r="CH37" s="5">
        <v>0</v>
      </c>
      <c r="CI37" s="5">
        <v>0</v>
      </c>
      <c r="CJ37" s="5">
        <v>0</v>
      </c>
      <c r="CK37" s="5">
        <v>0</v>
      </c>
      <c r="CL37" s="5">
        <f>(CD37+CE37/2+CF37/8+CG37/16+CH37/4+CJ37/32+CK37/16)*39</f>
        <v>4.875</v>
      </c>
      <c r="CM37" s="5">
        <v>0</v>
      </c>
      <c r="CN37" s="5">
        <v>0</v>
      </c>
      <c r="CO37" s="5">
        <v>0</v>
      </c>
      <c r="CP37" s="5">
        <v>0</v>
      </c>
      <c r="CQ37" s="5">
        <v>0</v>
      </c>
      <c r="CS37">
        <f>9/12</f>
        <v>0.75</v>
      </c>
      <c r="CT37">
        <v>0</v>
      </c>
      <c r="CU37">
        <v>0</v>
      </c>
      <c r="CV37">
        <v>0</v>
      </c>
      <c r="CW37">
        <f>CS37+CT37/24+CU37/48+CV37/48</f>
        <v>0.75</v>
      </c>
      <c r="CX37">
        <v>0</v>
      </c>
      <c r="CZ37" t="s">
        <v>210</v>
      </c>
      <c r="DB37" t="s">
        <v>767</v>
      </c>
      <c r="DC37" t="s">
        <v>1113</v>
      </c>
      <c r="DD37" t="s">
        <v>693</v>
      </c>
      <c r="DE37" t="s">
        <v>1114</v>
      </c>
      <c r="DF37" t="s">
        <v>1115</v>
      </c>
      <c r="DJ37" t="s">
        <v>483</v>
      </c>
    </row>
    <row r="38" spans="1:114" x14ac:dyDescent="0.25">
      <c r="A38">
        <v>1381</v>
      </c>
      <c r="C38" t="s">
        <v>23</v>
      </c>
      <c r="D38" t="s">
        <v>2148</v>
      </c>
      <c r="E38" t="s">
        <v>2018</v>
      </c>
      <c r="H38" t="s">
        <v>2043</v>
      </c>
      <c r="I38" t="s">
        <v>219</v>
      </c>
      <c r="J38" t="s">
        <v>15</v>
      </c>
      <c r="K38" t="s">
        <v>15</v>
      </c>
      <c r="L38" t="s">
        <v>15</v>
      </c>
      <c r="M38" s="7" t="s">
        <v>338</v>
      </c>
      <c r="W38" t="s">
        <v>225</v>
      </c>
      <c r="X38" t="s">
        <v>205</v>
      </c>
      <c r="Y38">
        <v>2</v>
      </c>
      <c r="Z38" t="s">
        <v>225</v>
      </c>
      <c r="AA38" t="s">
        <v>225</v>
      </c>
      <c r="AB38" t="s">
        <v>225</v>
      </c>
      <c r="AC38" t="s">
        <v>225</v>
      </c>
      <c r="AD38" t="s">
        <v>225</v>
      </c>
      <c r="AE38">
        <v>1</v>
      </c>
      <c r="AF38" t="s">
        <v>225</v>
      </c>
      <c r="AG38" t="s">
        <v>225</v>
      </c>
      <c r="AH38" t="s">
        <v>225</v>
      </c>
      <c r="AI38" t="s">
        <v>225</v>
      </c>
      <c r="AJ38" t="s">
        <v>225</v>
      </c>
      <c r="AK38" t="s">
        <v>225</v>
      </c>
      <c r="AL38">
        <v>1</v>
      </c>
      <c r="AM38" t="s">
        <v>225</v>
      </c>
      <c r="AN38" t="s">
        <v>225</v>
      </c>
      <c r="AO38" t="s">
        <v>225</v>
      </c>
      <c r="AP38">
        <v>6</v>
      </c>
      <c r="AQ38" t="s">
        <v>225</v>
      </c>
      <c r="AR38" t="s">
        <v>225</v>
      </c>
      <c r="AS38" t="s">
        <v>225</v>
      </c>
      <c r="AT38" t="s">
        <v>225</v>
      </c>
      <c r="AU38" t="s">
        <v>225</v>
      </c>
      <c r="AV38" t="s">
        <v>225</v>
      </c>
      <c r="AW38" t="s">
        <v>225</v>
      </c>
      <c r="AX38" t="s">
        <v>225</v>
      </c>
      <c r="AY38" t="s">
        <v>225</v>
      </c>
      <c r="AZ38" t="s">
        <v>225</v>
      </c>
      <c r="BA38" t="s">
        <v>225</v>
      </c>
      <c r="BB38" t="s">
        <v>225</v>
      </c>
      <c r="BC38" t="s">
        <v>225</v>
      </c>
      <c r="BD38" t="s">
        <v>225</v>
      </c>
      <c r="BE38" t="s">
        <v>225</v>
      </c>
      <c r="BF38" t="s">
        <v>225</v>
      </c>
      <c r="BG38" t="s">
        <v>225</v>
      </c>
      <c r="BH38" t="s">
        <v>225</v>
      </c>
      <c r="BI38" t="s">
        <v>225</v>
      </c>
      <c r="BJ38" t="s">
        <v>225</v>
      </c>
      <c r="BK38" t="s">
        <v>225</v>
      </c>
      <c r="BL38" t="s">
        <v>225</v>
      </c>
      <c r="BN38" s="5" t="s">
        <v>2037</v>
      </c>
      <c r="BO38" t="s">
        <v>2030</v>
      </c>
      <c r="BP38" t="s">
        <v>461</v>
      </c>
      <c r="BQ38" t="s">
        <v>539</v>
      </c>
      <c r="BR38" s="5">
        <f>1/3</f>
        <v>0.33333333333333331</v>
      </c>
      <c r="BS38" s="5">
        <v>0</v>
      </c>
      <c r="BT38" s="5">
        <v>0</v>
      </c>
      <c r="BU38" s="5">
        <f>(BS38/8+BT38/4)*39</f>
        <v>0</v>
      </c>
      <c r="BV38" s="5">
        <v>0</v>
      </c>
      <c r="BW38" s="5">
        <v>0</v>
      </c>
      <c r="BX38" s="5">
        <v>3</v>
      </c>
      <c r="BY38" s="5">
        <v>0</v>
      </c>
      <c r="BZ38" s="5">
        <v>0</v>
      </c>
      <c r="CA38" s="5">
        <v>0</v>
      </c>
      <c r="CB38" s="5">
        <v>0</v>
      </c>
      <c r="CC38" s="5">
        <f>(BV38+BW38/2+BX38/8+BY38/16+BZ38/4+CA38/32)*39</f>
        <v>14.625</v>
      </c>
      <c r="CD38" s="5">
        <v>0</v>
      </c>
      <c r="CE38" s="5">
        <v>0</v>
      </c>
      <c r="CF38" s="5">
        <v>1.5</v>
      </c>
      <c r="CG38" s="5">
        <v>0</v>
      </c>
      <c r="CH38" s="5">
        <v>0</v>
      </c>
      <c r="CI38" s="5">
        <v>0</v>
      </c>
      <c r="CJ38" s="5">
        <v>0</v>
      </c>
      <c r="CK38" s="5">
        <v>0</v>
      </c>
      <c r="CL38" s="5">
        <f>(CD38+CE38/2+CF38/8+CG38/16+CH38/4+CJ38/32+CK38/16)*39</f>
        <v>7.3125</v>
      </c>
      <c r="CM38" s="5">
        <v>0</v>
      </c>
      <c r="CN38" s="5">
        <v>0</v>
      </c>
      <c r="CO38" s="5">
        <v>0</v>
      </c>
      <c r="CP38" s="5">
        <v>0</v>
      </c>
      <c r="CQ38" s="5">
        <v>0</v>
      </c>
      <c r="CR38" t="s">
        <v>2038</v>
      </c>
      <c r="CS38">
        <f>2+3/12</f>
        <v>2.25</v>
      </c>
      <c r="CT38">
        <v>0</v>
      </c>
      <c r="CU38">
        <v>0</v>
      </c>
      <c r="CV38">
        <v>0</v>
      </c>
      <c r="CW38">
        <f>CS38+CT38/24+CU38/48+CV38/48</f>
        <v>2.25</v>
      </c>
      <c r="CX38">
        <v>0</v>
      </c>
      <c r="CZ38" t="s">
        <v>210</v>
      </c>
      <c r="DA38" t="s">
        <v>1733</v>
      </c>
      <c r="DB38" t="s">
        <v>2031</v>
      </c>
      <c r="DC38" t="s">
        <v>262</v>
      </c>
      <c r="DD38" t="s">
        <v>693</v>
      </c>
      <c r="DE38" t="s">
        <v>1196</v>
      </c>
      <c r="DF38" t="s">
        <v>2035</v>
      </c>
      <c r="DG38" t="s">
        <v>2036</v>
      </c>
    </row>
    <row r="39" spans="1:114" x14ac:dyDescent="0.25">
      <c r="A39">
        <v>1392</v>
      </c>
      <c r="C39" t="s">
        <v>23</v>
      </c>
      <c r="D39" t="s">
        <v>2148</v>
      </c>
      <c r="E39" t="s">
        <v>2018</v>
      </c>
      <c r="I39" t="s">
        <v>219</v>
      </c>
      <c r="J39">
        <v>1343</v>
      </c>
      <c r="K39" t="s">
        <v>973</v>
      </c>
      <c r="L39">
        <v>22</v>
      </c>
      <c r="M39" s="7" t="s">
        <v>338</v>
      </c>
      <c r="N39" t="s">
        <v>236</v>
      </c>
      <c r="P39" t="s">
        <v>225</v>
      </c>
      <c r="Q39" t="s">
        <v>205</v>
      </c>
      <c r="R39" t="s">
        <v>205</v>
      </c>
      <c r="S39" t="s">
        <v>205</v>
      </c>
      <c r="T39" t="s">
        <v>225</v>
      </c>
      <c r="W39" t="s">
        <v>205</v>
      </c>
      <c r="X39" t="s">
        <v>205</v>
      </c>
      <c r="Y39">
        <v>2</v>
      </c>
      <c r="Z39" t="s">
        <v>225</v>
      </c>
      <c r="AA39">
        <v>1</v>
      </c>
      <c r="AB39" t="s">
        <v>225</v>
      </c>
      <c r="AC39" t="s">
        <v>225</v>
      </c>
      <c r="AD39" t="s">
        <v>225</v>
      </c>
      <c r="AE39" t="s">
        <v>225</v>
      </c>
      <c r="AF39" t="s">
        <v>225</v>
      </c>
      <c r="AG39" t="s">
        <v>225</v>
      </c>
      <c r="AH39" t="s">
        <v>225</v>
      </c>
      <c r="AI39" t="s">
        <v>225</v>
      </c>
      <c r="AJ39" t="s">
        <v>225</v>
      </c>
      <c r="AK39" t="s">
        <v>225</v>
      </c>
      <c r="AL39" t="s">
        <v>205</v>
      </c>
      <c r="AM39" t="s">
        <v>225</v>
      </c>
      <c r="AN39" t="s">
        <v>225</v>
      </c>
      <c r="AO39" t="s">
        <v>225</v>
      </c>
      <c r="AP39">
        <v>8</v>
      </c>
      <c r="AQ39" t="s">
        <v>225</v>
      </c>
      <c r="AR39" t="s">
        <v>225</v>
      </c>
      <c r="AS39" t="s">
        <v>225</v>
      </c>
      <c r="AT39" t="s">
        <v>225</v>
      </c>
      <c r="AU39" t="s">
        <v>225</v>
      </c>
      <c r="AV39" t="s">
        <v>225</v>
      </c>
      <c r="AW39" t="s">
        <v>225</v>
      </c>
      <c r="AX39" t="s">
        <v>225</v>
      </c>
      <c r="AY39" t="s">
        <v>225</v>
      </c>
      <c r="AZ39" t="s">
        <v>225</v>
      </c>
      <c r="BA39" t="s">
        <v>225</v>
      </c>
      <c r="BB39" t="s">
        <v>225</v>
      </c>
      <c r="BC39" t="s">
        <v>225</v>
      </c>
      <c r="BD39" t="s">
        <v>225</v>
      </c>
      <c r="BE39" t="s">
        <v>225</v>
      </c>
      <c r="BF39" t="s">
        <v>225</v>
      </c>
      <c r="BG39" t="s">
        <v>225</v>
      </c>
      <c r="BH39" t="s">
        <v>225</v>
      </c>
      <c r="BI39" t="s">
        <v>225</v>
      </c>
      <c r="BJ39" t="s">
        <v>225</v>
      </c>
      <c r="BK39" t="s">
        <v>225</v>
      </c>
      <c r="BL39" t="s">
        <v>225</v>
      </c>
      <c r="BN39" s="5" t="s">
        <v>2165</v>
      </c>
      <c r="BQ39" t="s">
        <v>539</v>
      </c>
      <c r="BR39" s="5">
        <v>1</v>
      </c>
      <c r="BS39" s="5">
        <v>0</v>
      </c>
      <c r="BT39" s="5">
        <v>0</v>
      </c>
      <c r="BU39" s="5">
        <f>(BS39/8+BT39/4)*39</f>
        <v>0</v>
      </c>
      <c r="BV39" s="5">
        <v>0</v>
      </c>
      <c r="BW39" s="5">
        <v>0</v>
      </c>
      <c r="BX39" s="5">
        <v>7</v>
      </c>
      <c r="BY39" s="5">
        <v>3</v>
      </c>
      <c r="BZ39" s="5">
        <v>0</v>
      </c>
      <c r="CA39" s="5">
        <v>0</v>
      </c>
      <c r="CB39" s="5">
        <v>0</v>
      </c>
      <c r="CC39" s="5">
        <f>(BV39+BW39/2+BX39/8+BY39/16+BZ39/4+CA39/32)*39</f>
        <v>41.4375</v>
      </c>
      <c r="CD39" s="5">
        <v>0</v>
      </c>
      <c r="CE39" s="5">
        <v>1</v>
      </c>
      <c r="CF39" s="5">
        <v>0</v>
      </c>
      <c r="CG39" s="5">
        <v>0</v>
      </c>
      <c r="CH39" s="5">
        <v>0</v>
      </c>
      <c r="CI39" s="5">
        <v>0</v>
      </c>
      <c r="CJ39" s="5">
        <v>0</v>
      </c>
      <c r="CK39" s="5">
        <v>0</v>
      </c>
      <c r="CL39" s="5">
        <f>(CD39+CE39/2+CF39/8+CG39/16+CH39/4+CJ39/32+CK39/16)*39</f>
        <v>19.5</v>
      </c>
      <c r="CM39" s="5">
        <v>0</v>
      </c>
      <c r="CN39" s="5">
        <v>0</v>
      </c>
      <c r="CO39" s="5">
        <v>0</v>
      </c>
      <c r="CP39" s="5">
        <v>0</v>
      </c>
      <c r="CQ39" s="5">
        <v>0</v>
      </c>
      <c r="CR39" t="s">
        <v>2164</v>
      </c>
      <c r="CS39">
        <f>7+4/2</f>
        <v>9</v>
      </c>
      <c r="CT39">
        <v>0</v>
      </c>
      <c r="CU39">
        <v>0</v>
      </c>
      <c r="CV39">
        <v>0</v>
      </c>
      <c r="CW39">
        <f>CS39+CT39/24+CU39/48+CV39/48</f>
        <v>9</v>
      </c>
      <c r="CX39">
        <v>0</v>
      </c>
      <c r="DD39" s="16" t="s">
        <v>693</v>
      </c>
    </row>
    <row r="40" spans="1:114" x14ac:dyDescent="0.25">
      <c r="A40">
        <v>791</v>
      </c>
      <c r="B40" t="s">
        <v>788</v>
      </c>
      <c r="C40" s="15" t="s">
        <v>1472</v>
      </c>
      <c r="D40" t="s">
        <v>937</v>
      </c>
      <c r="E40" t="s">
        <v>776</v>
      </c>
      <c r="H40" t="s">
        <v>938</v>
      </c>
      <c r="I40" t="s">
        <v>219</v>
      </c>
      <c r="J40">
        <v>1343</v>
      </c>
      <c r="K40" t="s">
        <v>383</v>
      </c>
      <c r="L40" s="5">
        <v>20</v>
      </c>
      <c r="M40" s="7" t="s">
        <v>338</v>
      </c>
      <c r="N40" t="s">
        <v>986</v>
      </c>
      <c r="V40" t="s">
        <v>204</v>
      </c>
      <c r="W40" t="s">
        <v>225</v>
      </c>
      <c r="X40" t="s">
        <v>225</v>
      </c>
      <c r="Y40">
        <v>1</v>
      </c>
      <c r="Z40" t="s">
        <v>225</v>
      </c>
      <c r="AA40" t="s">
        <v>225</v>
      </c>
      <c r="AB40" t="s">
        <v>225</v>
      </c>
      <c r="AC40" t="s">
        <v>225</v>
      </c>
      <c r="AD40" t="s">
        <v>225</v>
      </c>
      <c r="AE40" t="s">
        <v>225</v>
      </c>
      <c r="AF40" t="s">
        <v>225</v>
      </c>
      <c r="AG40" t="s">
        <v>225</v>
      </c>
      <c r="AH40" t="s">
        <v>225</v>
      </c>
      <c r="AI40" t="s">
        <v>225</v>
      </c>
      <c r="AJ40" t="s">
        <v>225</v>
      </c>
      <c r="AK40" t="s">
        <v>225</v>
      </c>
      <c r="AL40" t="s">
        <v>225</v>
      </c>
      <c r="AM40" t="s">
        <v>225</v>
      </c>
      <c r="AN40" t="s">
        <v>225</v>
      </c>
      <c r="AO40" t="s">
        <v>225</v>
      </c>
      <c r="AP40" t="s">
        <v>225</v>
      </c>
      <c r="AQ40" t="s">
        <v>225</v>
      </c>
      <c r="AR40" t="s">
        <v>225</v>
      </c>
      <c r="AS40" t="s">
        <v>225</v>
      </c>
      <c r="AT40" t="s">
        <v>225</v>
      </c>
      <c r="AU40" t="s">
        <v>225</v>
      </c>
      <c r="AV40" t="s">
        <v>225</v>
      </c>
      <c r="AW40" t="s">
        <v>225</v>
      </c>
      <c r="AX40" t="s">
        <v>225</v>
      </c>
      <c r="AY40" t="s">
        <v>225</v>
      </c>
      <c r="AZ40" t="s">
        <v>225</v>
      </c>
      <c r="BA40" t="s">
        <v>225</v>
      </c>
      <c r="BB40" t="s">
        <v>225</v>
      </c>
      <c r="BC40" t="s">
        <v>225</v>
      </c>
      <c r="BD40" t="s">
        <v>225</v>
      </c>
      <c r="BE40" t="s">
        <v>225</v>
      </c>
      <c r="BF40" t="s">
        <v>225</v>
      </c>
      <c r="BG40" t="s">
        <v>225</v>
      </c>
      <c r="BH40" t="s">
        <v>225</v>
      </c>
      <c r="BI40" t="s">
        <v>225</v>
      </c>
      <c r="BJ40" t="s">
        <v>225</v>
      </c>
      <c r="BK40" t="s">
        <v>225</v>
      </c>
      <c r="BL40" t="s">
        <v>225</v>
      </c>
      <c r="BN40" t="s">
        <v>398</v>
      </c>
      <c r="BP40" t="s">
        <v>461</v>
      </c>
      <c r="BR40" s="5">
        <v>0</v>
      </c>
      <c r="BS40" s="5">
        <v>0</v>
      </c>
      <c r="BT40" s="5">
        <v>0</v>
      </c>
      <c r="BU40" s="5">
        <f>(BS40/8+BT40/4)*39</f>
        <v>0</v>
      </c>
      <c r="BV40" s="5">
        <v>0</v>
      </c>
      <c r="BW40" s="5">
        <v>0</v>
      </c>
      <c r="BX40" s="5">
        <v>0</v>
      </c>
      <c r="BY40" s="5">
        <v>0</v>
      </c>
      <c r="BZ40" s="5">
        <v>0</v>
      </c>
      <c r="CA40" s="5">
        <v>0</v>
      </c>
      <c r="CB40" s="5">
        <v>0</v>
      </c>
      <c r="CC40" s="5">
        <f>(BV40+BW40/2+BX40/8+BY40/16+BZ40/4+CA40/32)*39</f>
        <v>0</v>
      </c>
      <c r="CD40" s="5">
        <v>0</v>
      </c>
      <c r="CE40" s="5">
        <v>0</v>
      </c>
      <c r="CF40" s="5">
        <v>0</v>
      </c>
      <c r="CG40" s="5">
        <v>0</v>
      </c>
      <c r="CH40" s="5">
        <v>0</v>
      </c>
      <c r="CI40" s="5">
        <v>0</v>
      </c>
      <c r="CJ40" s="5">
        <v>0</v>
      </c>
      <c r="CK40" s="5">
        <v>0</v>
      </c>
      <c r="CL40" s="5">
        <f>(CD40+CE40/2+CF40/8+CG40/16+CH40/4+CJ40/32+CK40/16)*39</f>
        <v>0</v>
      </c>
      <c r="CM40" s="5">
        <v>0</v>
      </c>
      <c r="CN40" s="5">
        <v>0</v>
      </c>
      <c r="CO40" s="5">
        <v>0</v>
      </c>
      <c r="CP40" s="5">
        <v>0</v>
      </c>
      <c r="CQ40" s="5">
        <v>0</v>
      </c>
      <c r="CR40" t="s">
        <v>398</v>
      </c>
      <c r="CS40">
        <f>2/12</f>
        <v>0.16666666666666666</v>
      </c>
      <c r="CT40">
        <v>0</v>
      </c>
      <c r="CU40">
        <v>0</v>
      </c>
      <c r="CV40">
        <v>0</v>
      </c>
      <c r="CW40">
        <f>CS40+CT40/24+CU40/48+CV40/48</f>
        <v>0.16666666666666666</v>
      </c>
      <c r="CX40">
        <v>0</v>
      </c>
      <c r="CZ40" t="s">
        <v>210</v>
      </c>
      <c r="DA40" t="s">
        <v>589</v>
      </c>
      <c r="DB40" t="s">
        <v>405</v>
      </c>
      <c r="DC40" t="s">
        <v>943</v>
      </c>
      <c r="DD40" t="s">
        <v>693</v>
      </c>
      <c r="DE40" t="s">
        <v>944</v>
      </c>
      <c r="DF40" t="s">
        <v>945</v>
      </c>
      <c r="DG40" t="s">
        <v>946</v>
      </c>
      <c r="DJ40" t="s">
        <v>483</v>
      </c>
    </row>
    <row r="41" spans="1:114" x14ac:dyDescent="0.25">
      <c r="A41">
        <v>1851</v>
      </c>
      <c r="C41" t="s">
        <v>156</v>
      </c>
      <c r="D41" t="s">
        <v>3481</v>
      </c>
      <c r="E41" t="s">
        <v>3482</v>
      </c>
      <c r="F41" t="s">
        <v>3483</v>
      </c>
      <c r="I41" t="s">
        <v>219</v>
      </c>
      <c r="J41" s="5">
        <v>1344</v>
      </c>
      <c r="K41" t="s">
        <v>383</v>
      </c>
      <c r="L41">
        <v>10</v>
      </c>
      <c r="M41" s="7" t="s">
        <v>338</v>
      </c>
      <c r="N41" t="s">
        <v>986</v>
      </c>
      <c r="W41" t="s">
        <v>225</v>
      </c>
      <c r="X41" t="s">
        <v>225</v>
      </c>
      <c r="Y41">
        <v>1</v>
      </c>
      <c r="Z41" t="s">
        <v>225</v>
      </c>
      <c r="AA41" t="s">
        <v>225</v>
      </c>
      <c r="AB41" t="s">
        <v>225</v>
      </c>
      <c r="AC41" t="s">
        <v>225</v>
      </c>
      <c r="AD41" t="s">
        <v>205</v>
      </c>
      <c r="AE41" t="s">
        <v>225</v>
      </c>
      <c r="AF41" t="s">
        <v>225</v>
      </c>
      <c r="AG41" t="s">
        <v>225</v>
      </c>
      <c r="AH41" t="s">
        <v>225</v>
      </c>
      <c r="AI41" t="s">
        <v>225</v>
      </c>
      <c r="AJ41" t="s">
        <v>225</v>
      </c>
      <c r="AK41" t="s">
        <v>225</v>
      </c>
      <c r="AL41" t="s">
        <v>225</v>
      </c>
      <c r="AM41" t="s">
        <v>225</v>
      </c>
      <c r="AN41" t="s">
        <v>225</v>
      </c>
      <c r="AO41" t="s">
        <v>225</v>
      </c>
      <c r="AP41">
        <v>2</v>
      </c>
      <c r="AQ41" t="s">
        <v>225</v>
      </c>
      <c r="AR41" t="s">
        <v>225</v>
      </c>
      <c r="AS41" t="s">
        <v>225</v>
      </c>
      <c r="AT41" t="s">
        <v>225</v>
      </c>
      <c r="AU41" t="s">
        <v>225</v>
      </c>
      <c r="AV41" t="s">
        <v>225</v>
      </c>
      <c r="AW41" t="s">
        <v>225</v>
      </c>
      <c r="AX41" t="s">
        <v>225</v>
      </c>
      <c r="AY41" t="s">
        <v>225</v>
      </c>
      <c r="AZ41" t="s">
        <v>225</v>
      </c>
      <c r="BA41" t="s">
        <v>225</v>
      </c>
      <c r="BB41" t="s">
        <v>225</v>
      </c>
      <c r="BC41" t="s">
        <v>225</v>
      </c>
      <c r="BD41" t="s">
        <v>225</v>
      </c>
      <c r="BE41" t="s">
        <v>225</v>
      </c>
      <c r="BF41" t="s">
        <v>225</v>
      </c>
      <c r="BG41" t="s">
        <v>225</v>
      </c>
      <c r="BH41" t="s">
        <v>225</v>
      </c>
      <c r="BI41" t="s">
        <v>225</v>
      </c>
      <c r="BJ41" t="s">
        <v>225</v>
      </c>
      <c r="BK41" t="s">
        <v>225</v>
      </c>
      <c r="BL41" t="s">
        <v>225</v>
      </c>
      <c r="BN41" t="s">
        <v>3497</v>
      </c>
      <c r="BQ41" t="s">
        <v>3568</v>
      </c>
      <c r="BR41" s="5">
        <v>1</v>
      </c>
      <c r="BS41" s="5">
        <v>0</v>
      </c>
      <c r="BT41" s="5">
        <v>0</v>
      </c>
      <c r="BU41" s="5">
        <f>(BS41/8+BT41/4)*39</f>
        <v>0</v>
      </c>
      <c r="BV41" s="5">
        <v>0</v>
      </c>
      <c r="BW41" s="5">
        <v>0</v>
      </c>
      <c r="BX41" s="5">
        <v>0</v>
      </c>
      <c r="BY41" s="5">
        <v>9</v>
      </c>
      <c r="BZ41" s="5">
        <v>0</v>
      </c>
      <c r="CA41" s="5">
        <v>0</v>
      </c>
      <c r="CB41" s="5">
        <v>0</v>
      </c>
      <c r="CC41" s="5">
        <f>(BV41+BX41/8+BY41/32+CA41/32+CB41/4)*39</f>
        <v>10.96875</v>
      </c>
      <c r="CD41" s="5">
        <v>0</v>
      </c>
      <c r="CE41" s="5">
        <v>0</v>
      </c>
      <c r="CF41" s="5">
        <v>0</v>
      </c>
      <c r="CG41" s="5">
        <v>9</v>
      </c>
      <c r="CH41" s="5">
        <v>0</v>
      </c>
      <c r="CI41" s="5">
        <v>0</v>
      </c>
      <c r="CJ41" s="5">
        <v>0</v>
      </c>
      <c r="CK41" s="5">
        <v>0</v>
      </c>
      <c r="CL41" s="5">
        <f>(CD41+CF41/8+CG41/32+CI41/4+CJ41/32)*39</f>
        <v>10.96875</v>
      </c>
      <c r="CM41" s="5">
        <v>0</v>
      </c>
      <c r="CN41" s="5">
        <v>0</v>
      </c>
      <c r="CO41" s="5">
        <v>0</v>
      </c>
      <c r="CP41" s="5">
        <v>0</v>
      </c>
      <c r="CQ41" s="5">
        <v>0</v>
      </c>
      <c r="CS41">
        <f>2/12</f>
        <v>0.16666666666666666</v>
      </c>
      <c r="CT41">
        <v>0</v>
      </c>
      <c r="CU41">
        <v>0</v>
      </c>
      <c r="CV41">
        <v>0</v>
      </c>
      <c r="CW41">
        <f>CS41+CT41/24+CU41/48+CV41/48</f>
        <v>0.16666666666666666</v>
      </c>
      <c r="CX41">
        <v>0</v>
      </c>
      <c r="CZ41" t="s">
        <v>210</v>
      </c>
      <c r="DC41" t="s">
        <v>3498</v>
      </c>
      <c r="DD41" t="s">
        <v>693</v>
      </c>
      <c r="DE41" t="s">
        <v>3499</v>
      </c>
      <c r="DF41" t="s">
        <v>3977</v>
      </c>
      <c r="DG41" t="s">
        <v>3500</v>
      </c>
      <c r="DH41" t="s">
        <v>1571</v>
      </c>
      <c r="DI41" t="s">
        <v>3501</v>
      </c>
    </row>
    <row r="42" spans="1:114" x14ac:dyDescent="0.25">
      <c r="A42">
        <v>1622</v>
      </c>
      <c r="C42" t="s">
        <v>13</v>
      </c>
      <c r="D42" t="s">
        <v>2879</v>
      </c>
      <c r="E42" t="s">
        <v>2830</v>
      </c>
      <c r="I42" t="s">
        <v>219</v>
      </c>
      <c r="J42" s="5">
        <v>1343</v>
      </c>
      <c r="K42" t="s">
        <v>249</v>
      </c>
      <c r="L42">
        <v>4</v>
      </c>
      <c r="M42" s="7" t="s">
        <v>338</v>
      </c>
      <c r="V42" t="s">
        <v>1463</v>
      </c>
      <c r="W42" t="s">
        <v>225</v>
      </c>
      <c r="X42" t="s">
        <v>225</v>
      </c>
      <c r="Y42" t="s">
        <v>225</v>
      </c>
      <c r="Z42" t="s">
        <v>225</v>
      </c>
      <c r="AA42" t="s">
        <v>225</v>
      </c>
      <c r="AB42" t="s">
        <v>225</v>
      </c>
      <c r="AC42" t="s">
        <v>225</v>
      </c>
      <c r="AD42" t="s">
        <v>205</v>
      </c>
      <c r="AE42" t="s">
        <v>225</v>
      </c>
      <c r="AF42" t="s">
        <v>225</v>
      </c>
      <c r="AG42" t="s">
        <v>225</v>
      </c>
      <c r="AH42" t="s">
        <v>225</v>
      </c>
      <c r="AI42" t="s">
        <v>225</v>
      </c>
      <c r="AJ42" t="s">
        <v>225</v>
      </c>
      <c r="AK42" t="s">
        <v>225</v>
      </c>
      <c r="AL42" t="s">
        <v>225</v>
      </c>
      <c r="AM42" t="s">
        <v>225</v>
      </c>
      <c r="AN42" t="s">
        <v>225</v>
      </c>
      <c r="AO42" t="s">
        <v>225</v>
      </c>
      <c r="AP42">
        <v>1</v>
      </c>
      <c r="AQ42" t="s">
        <v>225</v>
      </c>
      <c r="AR42" t="s">
        <v>225</v>
      </c>
      <c r="AS42" t="s">
        <v>225</v>
      </c>
      <c r="AT42" t="s">
        <v>225</v>
      </c>
      <c r="AU42" t="s">
        <v>225</v>
      </c>
      <c r="AV42" t="s">
        <v>225</v>
      </c>
      <c r="AW42" t="s">
        <v>225</v>
      </c>
      <c r="AX42" t="s">
        <v>225</v>
      </c>
      <c r="AY42" t="s">
        <v>225</v>
      </c>
      <c r="AZ42" t="s">
        <v>225</v>
      </c>
      <c r="BA42" t="s">
        <v>225</v>
      </c>
      <c r="BB42" t="s">
        <v>225</v>
      </c>
      <c r="BC42" t="s">
        <v>225</v>
      </c>
      <c r="BD42" t="s">
        <v>225</v>
      </c>
      <c r="BE42" t="s">
        <v>225</v>
      </c>
      <c r="BF42" t="s">
        <v>225</v>
      </c>
      <c r="BG42" t="s">
        <v>225</v>
      </c>
      <c r="BH42" t="s">
        <v>225</v>
      </c>
      <c r="BI42" t="s">
        <v>225</v>
      </c>
      <c r="BJ42" t="s">
        <v>225</v>
      </c>
      <c r="BK42" t="s">
        <v>225</v>
      </c>
      <c r="BL42" t="s">
        <v>225</v>
      </c>
      <c r="BN42" t="s">
        <v>2876</v>
      </c>
      <c r="BR42" s="5">
        <v>0</v>
      </c>
      <c r="BS42" s="5">
        <v>0</v>
      </c>
      <c r="BT42" s="5">
        <v>0</v>
      </c>
      <c r="BU42" s="5">
        <f>(BS42/8+BT42/4)*39</f>
        <v>0</v>
      </c>
      <c r="BV42" s="5">
        <v>0</v>
      </c>
      <c r="BW42" s="5">
        <v>0</v>
      </c>
      <c r="BX42" s="5">
        <v>0</v>
      </c>
      <c r="BY42" s="5">
        <v>0</v>
      </c>
      <c r="BZ42" s="5">
        <v>0</v>
      </c>
      <c r="CA42" s="5">
        <v>0</v>
      </c>
      <c r="CB42" s="5">
        <v>0</v>
      </c>
      <c r="CC42" s="5">
        <f>(BV42+BW42/2+BX42/8+BY42/16+BZ42/4+CA42/32)*39</f>
        <v>0</v>
      </c>
      <c r="CD42" s="5">
        <v>0</v>
      </c>
      <c r="CE42" s="5">
        <v>0</v>
      </c>
      <c r="CF42" s="5">
        <v>0</v>
      </c>
      <c r="CG42" s="5">
        <v>0</v>
      </c>
      <c r="CH42" s="5">
        <v>0</v>
      </c>
      <c r="CI42" s="5">
        <v>0</v>
      </c>
      <c r="CJ42" s="5">
        <v>0</v>
      </c>
      <c r="CK42" s="5">
        <v>0</v>
      </c>
      <c r="CL42" s="5">
        <f>(CD42+CE42/2+CF42/8+CG42/16+CH42/4+CJ42/32+CK42/16)*39</f>
        <v>0</v>
      </c>
      <c r="CM42" s="5">
        <v>0</v>
      </c>
      <c r="CN42" s="5">
        <v>0</v>
      </c>
      <c r="CO42" s="5">
        <v>0</v>
      </c>
      <c r="CP42" s="5">
        <v>0</v>
      </c>
      <c r="CQ42" s="5">
        <v>0</v>
      </c>
      <c r="CS42">
        <f>5/12</f>
        <v>0.41666666666666669</v>
      </c>
      <c r="CT42">
        <v>0</v>
      </c>
      <c r="CU42">
        <v>0</v>
      </c>
      <c r="CV42">
        <v>0</v>
      </c>
      <c r="CW42">
        <f>CS42+CT42/24+CU42/48+CV42/48</f>
        <v>0.41666666666666669</v>
      </c>
      <c r="CX42">
        <v>0</v>
      </c>
      <c r="CZ42" t="s">
        <v>210</v>
      </c>
      <c r="DB42" t="s">
        <v>2877</v>
      </c>
      <c r="DC42" t="s">
        <v>262</v>
      </c>
      <c r="DD42" t="s">
        <v>693</v>
      </c>
      <c r="DE42" t="s">
        <v>2870</v>
      </c>
      <c r="DF42" t="s">
        <v>2871</v>
      </c>
    </row>
    <row r="43" spans="1:114" x14ac:dyDescent="0.25">
      <c r="A43">
        <v>1813</v>
      </c>
      <c r="C43" t="s">
        <v>1850</v>
      </c>
      <c r="D43" t="s">
        <v>3374</v>
      </c>
      <c r="E43" t="s">
        <v>2830</v>
      </c>
      <c r="G43" t="s">
        <v>3373</v>
      </c>
      <c r="H43" t="s">
        <v>3375</v>
      </c>
      <c r="I43" t="s">
        <v>219</v>
      </c>
      <c r="J43" s="5">
        <v>1344</v>
      </c>
      <c r="K43" t="s">
        <v>265</v>
      </c>
      <c r="L43">
        <v>13</v>
      </c>
      <c r="M43" s="7" t="s">
        <v>338</v>
      </c>
      <c r="N43" t="s">
        <v>986</v>
      </c>
      <c r="V43" t="s">
        <v>1463</v>
      </c>
      <c r="W43" t="s">
        <v>225</v>
      </c>
      <c r="X43" t="s">
        <v>225</v>
      </c>
      <c r="Y43" t="s">
        <v>205</v>
      </c>
      <c r="Z43" t="s">
        <v>225</v>
      </c>
      <c r="AA43" t="s">
        <v>205</v>
      </c>
      <c r="AB43" t="s">
        <v>225</v>
      </c>
      <c r="AC43" t="s">
        <v>225</v>
      </c>
      <c r="AD43" t="s">
        <v>225</v>
      </c>
      <c r="AE43" t="s">
        <v>225</v>
      </c>
      <c r="AF43" t="s">
        <v>225</v>
      </c>
      <c r="AG43" t="s">
        <v>225</v>
      </c>
      <c r="AH43" t="s">
        <v>225</v>
      </c>
      <c r="AI43" t="s">
        <v>225</v>
      </c>
      <c r="AJ43" t="s">
        <v>225</v>
      </c>
      <c r="AK43" t="s">
        <v>225</v>
      </c>
      <c r="AL43" t="s">
        <v>225</v>
      </c>
      <c r="AM43" t="s">
        <v>225</v>
      </c>
      <c r="AN43" t="s">
        <v>225</v>
      </c>
      <c r="AO43" t="s">
        <v>225</v>
      </c>
      <c r="AP43" t="s">
        <v>225</v>
      </c>
      <c r="AQ43" t="s">
        <v>225</v>
      </c>
      <c r="AR43" t="s">
        <v>225</v>
      </c>
      <c r="AS43" t="s">
        <v>225</v>
      </c>
      <c r="AT43" t="s">
        <v>225</v>
      </c>
      <c r="AU43" t="s">
        <v>225</v>
      </c>
      <c r="AV43" t="s">
        <v>225</v>
      </c>
      <c r="AW43" t="s">
        <v>225</v>
      </c>
      <c r="AX43" t="s">
        <v>225</v>
      </c>
      <c r="AY43" t="s">
        <v>225</v>
      </c>
      <c r="AZ43" t="s">
        <v>225</v>
      </c>
      <c r="BA43" t="s">
        <v>225</v>
      </c>
      <c r="BB43" t="s">
        <v>225</v>
      </c>
      <c r="BC43" t="s">
        <v>225</v>
      </c>
      <c r="BD43" t="s">
        <v>225</v>
      </c>
      <c r="BE43" t="s">
        <v>225</v>
      </c>
      <c r="BF43" t="s">
        <v>225</v>
      </c>
      <c r="BG43" t="s">
        <v>225</v>
      </c>
      <c r="BH43" t="s">
        <v>225</v>
      </c>
      <c r="BI43" t="s">
        <v>225</v>
      </c>
      <c r="BJ43" t="s">
        <v>225</v>
      </c>
      <c r="BK43" t="s">
        <v>225</v>
      </c>
      <c r="BL43" t="s">
        <v>225</v>
      </c>
      <c r="BN43" t="s">
        <v>3382</v>
      </c>
      <c r="BP43" t="s">
        <v>467</v>
      </c>
      <c r="BR43" s="5">
        <v>0</v>
      </c>
      <c r="BS43" s="5">
        <v>0</v>
      </c>
      <c r="BT43" s="5">
        <v>0</v>
      </c>
      <c r="BU43" s="5">
        <f>(BS43/8+BT43/4)*39</f>
        <v>0</v>
      </c>
      <c r="BV43" s="5">
        <v>0</v>
      </c>
      <c r="BW43" s="5">
        <v>0</v>
      </c>
      <c r="BX43" s="5">
        <v>0</v>
      </c>
      <c r="BY43" s="5">
        <v>0</v>
      </c>
      <c r="BZ43" s="5">
        <v>0</v>
      </c>
      <c r="CA43" s="5">
        <v>0</v>
      </c>
      <c r="CB43" s="5">
        <v>0</v>
      </c>
      <c r="CC43" s="5">
        <f>(BV43+BW43/2+BX43/8+BY43/16+BZ43/4+CA43/32)*39</f>
        <v>0</v>
      </c>
      <c r="CD43" s="5">
        <v>0</v>
      </c>
      <c r="CE43" s="5">
        <v>0</v>
      </c>
      <c r="CF43" s="5">
        <v>0</v>
      </c>
      <c r="CG43" s="5">
        <v>0</v>
      </c>
      <c r="CH43" s="5">
        <v>0</v>
      </c>
      <c r="CI43" s="5">
        <v>0</v>
      </c>
      <c r="CJ43" s="5">
        <v>0</v>
      </c>
      <c r="CK43" s="5">
        <v>0</v>
      </c>
      <c r="CL43" s="5">
        <f>(CD43+CE43/2+CF43/8+CG43/16+CH43/4+CJ43/32+CK43/16)*39</f>
        <v>0</v>
      </c>
      <c r="CM43" s="5">
        <v>0</v>
      </c>
      <c r="CN43" s="5">
        <v>0</v>
      </c>
      <c r="CO43" s="5">
        <v>0</v>
      </c>
      <c r="CP43" s="5">
        <v>0</v>
      </c>
      <c r="CQ43" s="5">
        <v>0</v>
      </c>
      <c r="CR43" t="s">
        <v>3381</v>
      </c>
      <c r="CS43">
        <f>1/12+5/12</f>
        <v>0.5</v>
      </c>
      <c r="CT43">
        <v>0</v>
      </c>
      <c r="CU43">
        <v>0</v>
      </c>
      <c r="CV43">
        <v>0</v>
      </c>
      <c r="CW43">
        <f>CS43+CT43/24+CU43/48+CV43/48</f>
        <v>0.5</v>
      </c>
      <c r="CX43">
        <v>0</v>
      </c>
      <c r="CZ43" t="s">
        <v>210</v>
      </c>
      <c r="DC43" t="s">
        <v>262</v>
      </c>
      <c r="DD43" t="s">
        <v>693</v>
      </c>
      <c r="DE43" t="s">
        <v>3383</v>
      </c>
      <c r="DF43" t="s">
        <v>3384</v>
      </c>
      <c r="DG43" t="s">
        <v>3385</v>
      </c>
    </row>
    <row r="44" spans="1:114" x14ac:dyDescent="0.25">
      <c r="A44">
        <v>1601</v>
      </c>
      <c r="C44" t="s">
        <v>50</v>
      </c>
      <c r="D44" t="s">
        <v>64</v>
      </c>
      <c r="E44" t="s">
        <v>251</v>
      </c>
      <c r="I44" t="s">
        <v>219</v>
      </c>
      <c r="J44" s="5">
        <v>1343</v>
      </c>
      <c r="K44" t="s">
        <v>817</v>
      </c>
      <c r="L44">
        <v>20</v>
      </c>
      <c r="M44" s="7" t="s">
        <v>338</v>
      </c>
      <c r="V44" t="s">
        <v>1463</v>
      </c>
      <c r="W44" t="s">
        <v>225</v>
      </c>
      <c r="X44" t="s">
        <v>205</v>
      </c>
      <c r="Y44">
        <v>2</v>
      </c>
      <c r="Z44" t="s">
        <v>225</v>
      </c>
      <c r="AA44" t="s">
        <v>225</v>
      </c>
      <c r="AB44" t="s">
        <v>225</v>
      </c>
      <c r="AC44">
        <v>1</v>
      </c>
      <c r="AD44" t="s">
        <v>205</v>
      </c>
      <c r="AE44" t="s">
        <v>225</v>
      </c>
      <c r="AF44" t="s">
        <v>225</v>
      </c>
      <c r="AG44" t="s">
        <v>225</v>
      </c>
      <c r="AH44" t="s">
        <v>225</v>
      </c>
      <c r="AI44" t="s">
        <v>205</v>
      </c>
      <c r="AJ44" t="s">
        <v>225</v>
      </c>
      <c r="AK44" t="s">
        <v>225</v>
      </c>
      <c r="AL44" t="s">
        <v>225</v>
      </c>
      <c r="AM44" t="s">
        <v>225</v>
      </c>
      <c r="AN44" t="s">
        <v>225</v>
      </c>
      <c r="AO44" t="s">
        <v>225</v>
      </c>
      <c r="AP44" t="s">
        <v>225</v>
      </c>
      <c r="AQ44" t="s">
        <v>225</v>
      </c>
      <c r="AR44" t="s">
        <v>225</v>
      </c>
      <c r="AS44" t="s">
        <v>225</v>
      </c>
      <c r="AT44" t="s">
        <v>225</v>
      </c>
      <c r="AU44" t="s">
        <v>225</v>
      </c>
      <c r="AV44" t="s">
        <v>225</v>
      </c>
      <c r="AW44" t="s">
        <v>225</v>
      </c>
      <c r="AX44" t="s">
        <v>225</v>
      </c>
      <c r="AY44" t="s">
        <v>225</v>
      </c>
      <c r="AZ44" t="s">
        <v>225</v>
      </c>
      <c r="BA44" t="s">
        <v>225</v>
      </c>
      <c r="BB44" t="s">
        <v>225</v>
      </c>
      <c r="BC44" t="s">
        <v>225</v>
      </c>
      <c r="BD44" t="s">
        <v>225</v>
      </c>
      <c r="BE44" t="s">
        <v>225</v>
      </c>
      <c r="BF44" t="s">
        <v>225</v>
      </c>
      <c r="BG44" t="s">
        <v>225</v>
      </c>
      <c r="BH44" t="s">
        <v>225</v>
      </c>
      <c r="BI44" t="s">
        <v>225</v>
      </c>
      <c r="BJ44" t="s">
        <v>225</v>
      </c>
      <c r="BK44" t="s">
        <v>225</v>
      </c>
      <c r="BL44" t="s">
        <v>225</v>
      </c>
      <c r="BN44" t="s">
        <v>2825</v>
      </c>
      <c r="BQ44" t="s">
        <v>3561</v>
      </c>
      <c r="BR44" s="5">
        <v>0</v>
      </c>
      <c r="BS44" s="5">
        <v>0</v>
      </c>
      <c r="BT44" s="5">
        <v>0</v>
      </c>
      <c r="BU44" s="5">
        <f>(BS44/8+BT44/4)*39</f>
        <v>0</v>
      </c>
      <c r="BV44" s="5">
        <v>0</v>
      </c>
      <c r="BW44" s="5">
        <v>0</v>
      </c>
      <c r="BX44" s="5">
        <f>1/2+1/2</f>
        <v>1</v>
      </c>
      <c r="BY44" s="5">
        <v>0</v>
      </c>
      <c r="BZ44" s="5">
        <v>0</v>
      </c>
      <c r="CA44" s="5">
        <v>1</v>
      </c>
      <c r="CB44" s="5">
        <v>0</v>
      </c>
      <c r="CC44" s="5">
        <f>(BV44+BW44/2+BX44/8+BY44/16+BZ44/4+CA44/32)*39</f>
        <v>6.09375</v>
      </c>
      <c r="CD44" s="5">
        <v>0</v>
      </c>
      <c r="CE44" s="5">
        <v>0</v>
      </c>
      <c r="CF44" s="5">
        <v>0</v>
      </c>
      <c r="CG44" s="5">
        <v>1</v>
      </c>
      <c r="CH44" s="5">
        <v>0</v>
      </c>
      <c r="CI44" s="5">
        <v>0</v>
      </c>
      <c r="CJ44" s="5">
        <v>0</v>
      </c>
      <c r="CK44" s="5">
        <v>0</v>
      </c>
      <c r="CL44" s="5">
        <f>(CD44+CE44/2+CF44/8+CG44/16+CH44/4+CJ44/32+CK44/16)*39</f>
        <v>2.4375</v>
      </c>
      <c r="CM44" s="5">
        <v>0</v>
      </c>
      <c r="CN44" s="5">
        <v>0</v>
      </c>
      <c r="CO44" s="5">
        <v>0</v>
      </c>
      <c r="CP44" s="5">
        <v>0</v>
      </c>
      <c r="CQ44" s="5">
        <v>0</v>
      </c>
      <c r="CR44" t="s">
        <v>2826</v>
      </c>
      <c r="CS44">
        <f>15/12</f>
        <v>1.25</v>
      </c>
      <c r="CT44">
        <v>0</v>
      </c>
      <c r="CU44">
        <v>0</v>
      </c>
      <c r="CV44">
        <v>1</v>
      </c>
      <c r="CW44">
        <f>CS44+CT44/24+CU44/48+CV44/48</f>
        <v>1.2708333333333333</v>
      </c>
      <c r="CX44">
        <v>0</v>
      </c>
      <c r="CZ44" t="s">
        <v>210</v>
      </c>
      <c r="DB44" t="s">
        <v>2827</v>
      </c>
      <c r="DC44" t="s">
        <v>262</v>
      </c>
      <c r="DD44" t="s">
        <v>693</v>
      </c>
      <c r="DE44" t="s">
        <v>2828</v>
      </c>
      <c r="DF44" t="s">
        <v>2829</v>
      </c>
    </row>
    <row r="45" spans="1:114" x14ac:dyDescent="0.25">
      <c r="A45">
        <v>1383</v>
      </c>
      <c r="C45" t="s">
        <v>2060</v>
      </c>
      <c r="D45" t="s">
        <v>3802</v>
      </c>
      <c r="E45" t="s">
        <v>2070</v>
      </c>
      <c r="H45" t="s">
        <v>2061</v>
      </c>
      <c r="I45" t="s">
        <v>219</v>
      </c>
      <c r="J45">
        <v>1342</v>
      </c>
      <c r="K45" t="s">
        <v>2149</v>
      </c>
      <c r="L45">
        <v>15</v>
      </c>
      <c r="M45" s="7" t="s">
        <v>338</v>
      </c>
      <c r="N45" t="s">
        <v>236</v>
      </c>
      <c r="P45" t="s">
        <v>225</v>
      </c>
      <c r="Q45" t="s">
        <v>205</v>
      </c>
      <c r="R45" t="s">
        <v>205</v>
      </c>
      <c r="S45" t="s">
        <v>205</v>
      </c>
      <c r="T45" t="s">
        <v>205</v>
      </c>
      <c r="U45" t="s">
        <v>277</v>
      </c>
      <c r="W45" t="s">
        <v>225</v>
      </c>
      <c r="X45" t="s">
        <v>225</v>
      </c>
      <c r="Y45">
        <v>1</v>
      </c>
      <c r="Z45" t="s">
        <v>225</v>
      </c>
      <c r="AA45">
        <v>1</v>
      </c>
      <c r="AB45" t="s">
        <v>225</v>
      </c>
      <c r="AC45" t="s">
        <v>225</v>
      </c>
      <c r="AD45" t="s">
        <v>205</v>
      </c>
      <c r="AE45" t="s">
        <v>225</v>
      </c>
      <c r="AF45" t="s">
        <v>225</v>
      </c>
      <c r="AG45" t="s">
        <v>225</v>
      </c>
      <c r="AH45" t="s">
        <v>225</v>
      </c>
      <c r="AI45" t="s">
        <v>225</v>
      </c>
      <c r="AJ45" t="s">
        <v>225</v>
      </c>
      <c r="AK45" t="s">
        <v>225</v>
      </c>
      <c r="AL45" t="s">
        <v>225</v>
      </c>
      <c r="AM45" t="s">
        <v>225</v>
      </c>
      <c r="AN45" t="s">
        <v>225</v>
      </c>
      <c r="AO45" t="s">
        <v>225</v>
      </c>
      <c r="AP45" t="s">
        <v>225</v>
      </c>
      <c r="AQ45" t="s">
        <v>225</v>
      </c>
      <c r="AR45" t="s">
        <v>225</v>
      </c>
      <c r="AS45" t="s">
        <v>225</v>
      </c>
      <c r="AT45" t="s">
        <v>225</v>
      </c>
      <c r="AU45">
        <v>1</v>
      </c>
      <c r="AV45" t="s">
        <v>225</v>
      </c>
      <c r="AW45" t="s">
        <v>225</v>
      </c>
      <c r="AX45" t="s">
        <v>225</v>
      </c>
      <c r="AY45" t="s">
        <v>225</v>
      </c>
      <c r="AZ45" t="s">
        <v>225</v>
      </c>
      <c r="BA45" t="s">
        <v>225</v>
      </c>
      <c r="BB45" t="s">
        <v>225</v>
      </c>
      <c r="BC45" t="s">
        <v>225</v>
      </c>
      <c r="BD45" t="s">
        <v>225</v>
      </c>
      <c r="BE45" t="s">
        <v>225</v>
      </c>
      <c r="BF45" t="s">
        <v>225</v>
      </c>
      <c r="BG45" t="s">
        <v>225</v>
      </c>
      <c r="BH45" t="s">
        <v>225</v>
      </c>
      <c r="BI45" t="s">
        <v>225</v>
      </c>
      <c r="BJ45" t="s">
        <v>225</v>
      </c>
      <c r="BK45" t="s">
        <v>225</v>
      </c>
      <c r="BL45" t="s">
        <v>225</v>
      </c>
      <c r="BN45" s="5" t="s">
        <v>2076</v>
      </c>
      <c r="BP45" t="s">
        <v>460</v>
      </c>
      <c r="BQ45" t="s">
        <v>539</v>
      </c>
      <c r="BR45" s="5">
        <v>0</v>
      </c>
      <c r="BS45" s="5">
        <v>0</v>
      </c>
      <c r="BT45" s="5">
        <v>0</v>
      </c>
      <c r="BU45" s="5">
        <f>(BS45/8+BT45/4)*39</f>
        <v>0</v>
      </c>
      <c r="BV45" s="5">
        <v>0</v>
      </c>
      <c r="BW45" s="5">
        <v>0</v>
      </c>
      <c r="BX45" s="5">
        <f>1/2</f>
        <v>0.5</v>
      </c>
      <c r="BY45" s="5">
        <v>0</v>
      </c>
      <c r="BZ45" s="5">
        <v>1</v>
      </c>
      <c r="CA45" s="5">
        <v>0</v>
      </c>
      <c r="CB45" s="5">
        <v>0</v>
      </c>
      <c r="CC45" s="5">
        <f>(BV45+BW45/2+BX45/8+BY45/16+BZ45/4+CA45/32)*39</f>
        <v>12.1875</v>
      </c>
      <c r="CD45" s="5">
        <v>0</v>
      </c>
      <c r="CE45" s="5">
        <v>0</v>
      </c>
      <c r="CF45" s="5">
        <v>1</v>
      </c>
      <c r="CG45" s="5">
        <v>0</v>
      </c>
      <c r="CH45" s="5">
        <v>1</v>
      </c>
      <c r="CI45" s="5">
        <v>0</v>
      </c>
      <c r="CJ45" s="5">
        <v>0</v>
      </c>
      <c r="CK45" s="5">
        <v>0</v>
      </c>
      <c r="CL45" s="5">
        <f>(CD45+CE45/2+CF45/8+CG45/16+CH45/4+CJ45/32+CK45/16)*39</f>
        <v>14.625</v>
      </c>
      <c r="CM45" s="5">
        <v>0</v>
      </c>
      <c r="CN45" s="5">
        <v>0</v>
      </c>
      <c r="CO45" s="5">
        <v>0</v>
      </c>
      <c r="CP45" s="5">
        <v>0</v>
      </c>
      <c r="CQ45" s="5">
        <v>0</v>
      </c>
      <c r="CR45" t="s">
        <v>1123</v>
      </c>
      <c r="CS45">
        <f>3+5/12+12/12</f>
        <v>4.4166666666666661</v>
      </c>
      <c r="CT45">
        <v>0</v>
      </c>
      <c r="CU45">
        <v>0</v>
      </c>
      <c r="CV45">
        <v>0</v>
      </c>
      <c r="CW45">
        <f>CS45+CT45/24+CU45/48+CV45/48</f>
        <v>4.4166666666666661</v>
      </c>
      <c r="CX45">
        <v>0</v>
      </c>
      <c r="CY45" t="s">
        <v>248</v>
      </c>
      <c r="CZ45" t="s">
        <v>210</v>
      </c>
      <c r="DA45" t="s">
        <v>1733</v>
      </c>
      <c r="DB45" t="s">
        <v>2077</v>
      </c>
      <c r="DC45" t="s">
        <v>262</v>
      </c>
      <c r="DD45" s="16" t="s">
        <v>693</v>
      </c>
      <c r="DE45" t="s">
        <v>2078</v>
      </c>
      <c r="DF45" t="s">
        <v>2079</v>
      </c>
      <c r="DG45" t="s">
        <v>2080</v>
      </c>
    </row>
    <row r="46" spans="1:114" x14ac:dyDescent="0.25">
      <c r="A46">
        <v>1741</v>
      </c>
      <c r="C46" t="s">
        <v>3118</v>
      </c>
      <c r="D46" t="s">
        <v>3117</v>
      </c>
      <c r="E46" t="s">
        <v>251</v>
      </c>
      <c r="G46" t="s">
        <v>3119</v>
      </c>
      <c r="I46" t="s">
        <v>3219</v>
      </c>
      <c r="J46" s="5">
        <v>1343</v>
      </c>
      <c r="K46" t="s">
        <v>383</v>
      </c>
      <c r="L46" s="5">
        <v>8</v>
      </c>
      <c r="M46" s="7" t="s">
        <v>338</v>
      </c>
      <c r="N46" t="s">
        <v>986</v>
      </c>
      <c r="V46" t="s">
        <v>1463</v>
      </c>
      <c r="W46" t="s">
        <v>225</v>
      </c>
      <c r="X46" t="s">
        <v>225</v>
      </c>
      <c r="Y46">
        <v>1</v>
      </c>
      <c r="Z46" t="s">
        <v>225</v>
      </c>
      <c r="AA46">
        <v>1</v>
      </c>
      <c r="AB46" t="s">
        <v>225</v>
      </c>
      <c r="AC46" t="s">
        <v>225</v>
      </c>
      <c r="AD46" t="s">
        <v>205</v>
      </c>
      <c r="AE46" t="s">
        <v>225</v>
      </c>
      <c r="AF46" t="s">
        <v>225</v>
      </c>
      <c r="AG46" t="s">
        <v>225</v>
      </c>
      <c r="AH46" t="s">
        <v>225</v>
      </c>
      <c r="AI46" t="s">
        <v>205</v>
      </c>
      <c r="AJ46" t="s">
        <v>225</v>
      </c>
      <c r="AK46" t="s">
        <v>225</v>
      </c>
      <c r="AL46" t="s">
        <v>225</v>
      </c>
      <c r="AM46" t="s">
        <v>225</v>
      </c>
      <c r="AN46" t="s">
        <v>225</v>
      </c>
      <c r="AO46" t="s">
        <v>225</v>
      </c>
      <c r="AP46">
        <v>5</v>
      </c>
      <c r="AQ46" t="s">
        <v>225</v>
      </c>
      <c r="AR46" t="s">
        <v>225</v>
      </c>
      <c r="AS46" t="s">
        <v>225</v>
      </c>
      <c r="AT46" t="s">
        <v>225</v>
      </c>
      <c r="AU46" t="s">
        <v>225</v>
      </c>
      <c r="AV46" t="s">
        <v>225</v>
      </c>
      <c r="AW46" t="s">
        <v>225</v>
      </c>
      <c r="AX46" t="s">
        <v>225</v>
      </c>
      <c r="AY46" t="s">
        <v>225</v>
      </c>
      <c r="AZ46" t="s">
        <v>225</v>
      </c>
      <c r="BA46" t="s">
        <v>225</v>
      </c>
      <c r="BB46" t="s">
        <v>225</v>
      </c>
      <c r="BC46" t="s">
        <v>225</v>
      </c>
      <c r="BD46" t="s">
        <v>225</v>
      </c>
      <c r="BE46" t="s">
        <v>225</v>
      </c>
      <c r="BF46" t="s">
        <v>225</v>
      </c>
      <c r="BG46" t="s">
        <v>225</v>
      </c>
      <c r="BH46" t="s">
        <v>225</v>
      </c>
      <c r="BI46" t="s">
        <v>225</v>
      </c>
      <c r="BJ46" t="s">
        <v>225</v>
      </c>
      <c r="BK46" t="s">
        <v>225</v>
      </c>
      <c r="BL46" t="s">
        <v>225</v>
      </c>
      <c r="BN46" t="s">
        <v>3150</v>
      </c>
      <c r="BQ46" t="s">
        <v>3561</v>
      </c>
      <c r="BR46" s="5">
        <v>0</v>
      </c>
      <c r="BS46" s="5">
        <v>0</v>
      </c>
      <c r="BT46" s="5">
        <v>0</v>
      </c>
      <c r="BU46" s="5">
        <f>(BS46/8+BT46/4)*39</f>
        <v>0</v>
      </c>
      <c r="BV46" s="5">
        <v>0</v>
      </c>
      <c r="BW46" s="5">
        <v>0</v>
      </c>
      <c r="BX46" s="5">
        <f>1/2</f>
        <v>0.5</v>
      </c>
      <c r="BY46" s="5">
        <f>1/4</f>
        <v>0.25</v>
      </c>
      <c r="BZ46" s="5">
        <v>0</v>
      </c>
      <c r="CA46" s="5">
        <v>0</v>
      </c>
      <c r="CB46" s="5">
        <v>0</v>
      </c>
      <c r="CC46" s="5">
        <f>(BV46+BW46/2+BX46/8+BY46/16+BZ46/4+CA46/32)*39</f>
        <v>3.046875</v>
      </c>
      <c r="CD46" s="5">
        <v>0</v>
      </c>
      <c r="CE46" s="5">
        <v>0</v>
      </c>
      <c r="CF46" s="5">
        <v>0</v>
      </c>
      <c r="CG46" s="5">
        <v>0</v>
      </c>
      <c r="CH46" s="5">
        <v>0</v>
      </c>
      <c r="CI46" s="5">
        <v>0</v>
      </c>
      <c r="CJ46" s="5">
        <v>0</v>
      </c>
      <c r="CK46" s="5">
        <v>0</v>
      </c>
      <c r="CL46" s="5">
        <f>(CD46+CE46/2+CF46/8+CG46/16+CH46/4+CJ46/32+CK46/16)*39</f>
        <v>0</v>
      </c>
      <c r="CM46" s="5">
        <v>0</v>
      </c>
      <c r="CN46" s="5">
        <v>0</v>
      </c>
      <c r="CO46" s="5">
        <v>0</v>
      </c>
      <c r="CP46" s="5">
        <v>0</v>
      </c>
      <c r="CQ46" s="5">
        <v>0</v>
      </c>
      <c r="CS46">
        <f>8/12</f>
        <v>0.66666666666666663</v>
      </c>
      <c r="CT46">
        <v>0</v>
      </c>
      <c r="CU46">
        <v>0</v>
      </c>
      <c r="CV46">
        <v>0</v>
      </c>
      <c r="CW46">
        <f>CS46+CT46/24+CU46/48+CV46/48</f>
        <v>0.66666666666666663</v>
      </c>
      <c r="CX46">
        <v>0</v>
      </c>
      <c r="CZ46" t="s">
        <v>210</v>
      </c>
      <c r="DC46" t="s">
        <v>262</v>
      </c>
      <c r="DD46" t="s">
        <v>693</v>
      </c>
      <c r="DE46" t="s">
        <v>3151</v>
      </c>
      <c r="DF46" t="s">
        <v>928</v>
      </c>
    </row>
    <row r="47" spans="1:114" x14ac:dyDescent="0.25">
      <c r="A47">
        <v>1791</v>
      </c>
      <c r="C47" t="s">
        <v>465</v>
      </c>
      <c r="D47" t="s">
        <v>3117</v>
      </c>
      <c r="E47" t="s">
        <v>3267</v>
      </c>
      <c r="G47" t="s">
        <v>3266</v>
      </c>
      <c r="I47" t="s">
        <v>219</v>
      </c>
      <c r="J47" s="5">
        <v>1344</v>
      </c>
      <c r="K47" t="s">
        <v>265</v>
      </c>
      <c r="L47">
        <v>7</v>
      </c>
      <c r="M47" s="7" t="s">
        <v>338</v>
      </c>
      <c r="N47" t="s">
        <v>3091</v>
      </c>
      <c r="V47" t="s">
        <v>1463</v>
      </c>
      <c r="W47" t="s">
        <v>225</v>
      </c>
      <c r="X47" t="s">
        <v>225</v>
      </c>
      <c r="Y47">
        <v>2</v>
      </c>
      <c r="Z47" t="s">
        <v>225</v>
      </c>
      <c r="AA47">
        <v>1</v>
      </c>
      <c r="AB47" t="s">
        <v>225</v>
      </c>
      <c r="AC47" t="s">
        <v>225</v>
      </c>
      <c r="AD47" t="s">
        <v>225</v>
      </c>
      <c r="AE47" t="s">
        <v>225</v>
      </c>
      <c r="AF47" t="s">
        <v>225</v>
      </c>
      <c r="AG47" t="s">
        <v>225</v>
      </c>
      <c r="AH47" t="s">
        <v>225</v>
      </c>
      <c r="AI47" t="s">
        <v>225</v>
      </c>
      <c r="AJ47" t="s">
        <v>225</v>
      </c>
      <c r="AK47" t="s">
        <v>225</v>
      </c>
      <c r="AL47" t="s">
        <v>225</v>
      </c>
      <c r="AM47" t="s">
        <v>225</v>
      </c>
      <c r="AN47" t="s">
        <v>225</v>
      </c>
      <c r="AO47" t="s">
        <v>225</v>
      </c>
      <c r="AP47" t="s">
        <v>205</v>
      </c>
      <c r="AQ47" t="s">
        <v>225</v>
      </c>
      <c r="AR47" t="s">
        <v>225</v>
      </c>
      <c r="AS47" t="s">
        <v>225</v>
      </c>
      <c r="AT47" t="s">
        <v>225</v>
      </c>
      <c r="AU47" t="s">
        <v>225</v>
      </c>
      <c r="AV47" t="s">
        <v>225</v>
      </c>
      <c r="AW47" t="s">
        <v>225</v>
      </c>
      <c r="AX47" t="s">
        <v>225</v>
      </c>
      <c r="AY47" t="s">
        <v>225</v>
      </c>
      <c r="AZ47" t="s">
        <v>225</v>
      </c>
      <c r="BA47" t="s">
        <v>225</v>
      </c>
      <c r="BB47" t="s">
        <v>225</v>
      </c>
      <c r="BC47" t="s">
        <v>225</v>
      </c>
      <c r="BD47" t="s">
        <v>225</v>
      </c>
      <c r="BE47" t="s">
        <v>225</v>
      </c>
      <c r="BF47" t="s">
        <v>225</v>
      </c>
      <c r="BG47" t="s">
        <v>225</v>
      </c>
      <c r="BH47" t="s">
        <v>225</v>
      </c>
      <c r="BI47" t="s">
        <v>225</v>
      </c>
      <c r="BJ47" t="s">
        <v>225</v>
      </c>
      <c r="BK47" t="s">
        <v>225</v>
      </c>
      <c r="BL47" t="s">
        <v>225</v>
      </c>
      <c r="BN47" t="s">
        <v>3280</v>
      </c>
      <c r="BQ47" t="s">
        <v>3569</v>
      </c>
      <c r="BR47" s="5">
        <v>0</v>
      </c>
      <c r="BS47" s="5">
        <v>0</v>
      </c>
      <c r="BT47" s="5">
        <v>0</v>
      </c>
      <c r="BU47" s="5">
        <f>(BS47/8+BT47/4)*39</f>
        <v>0</v>
      </c>
      <c r="BV47" s="5">
        <v>0</v>
      </c>
      <c r="BW47" s="5">
        <v>0</v>
      </c>
      <c r="BX47" s="5">
        <v>0</v>
      </c>
      <c r="BY47" s="5">
        <f>1+1/2</f>
        <v>1.5</v>
      </c>
      <c r="BZ47" s="5">
        <v>0</v>
      </c>
      <c r="CA47" s="5">
        <f>1/2</f>
        <v>0.5</v>
      </c>
      <c r="CB47" s="5">
        <v>0</v>
      </c>
      <c r="CC47" s="5">
        <f>(BV47+BW47/2+BX47/8+BY47/16+BZ47/4+CA47/32)*39</f>
        <v>4.265625</v>
      </c>
      <c r="CD47" s="5">
        <v>0</v>
      </c>
      <c r="CE47" s="5">
        <v>0</v>
      </c>
      <c r="CF47" s="5">
        <v>0</v>
      </c>
      <c r="CG47" s="5">
        <f>1+1/2</f>
        <v>1.5</v>
      </c>
      <c r="CH47" s="5">
        <v>0</v>
      </c>
      <c r="CI47" s="5">
        <v>0</v>
      </c>
      <c r="CJ47" s="5">
        <v>0</v>
      </c>
      <c r="CK47" s="5">
        <v>0</v>
      </c>
      <c r="CL47" s="5">
        <f>(CD47+CE47/2+CF47/8+CG47/16+CH47/4+CJ47/32+CK47/16)*39</f>
        <v>3.65625</v>
      </c>
      <c r="CM47" s="5">
        <v>0</v>
      </c>
      <c r="CN47" s="5">
        <v>0</v>
      </c>
      <c r="CO47" s="5">
        <v>0</v>
      </c>
      <c r="CP47" s="5">
        <v>0</v>
      </c>
      <c r="CQ47" s="5">
        <v>0</v>
      </c>
      <c r="CS47">
        <f>7/12</f>
        <v>0.58333333333333337</v>
      </c>
      <c r="CT47">
        <v>1</v>
      </c>
      <c r="CU47">
        <v>0</v>
      </c>
      <c r="CV47">
        <f>1/2</f>
        <v>0.5</v>
      </c>
      <c r="CW47">
        <f>CS47+CT47/24+CU47/48+CV47/48</f>
        <v>0.63541666666666663</v>
      </c>
      <c r="CX47">
        <v>0</v>
      </c>
      <c r="CZ47" t="s">
        <v>210</v>
      </c>
      <c r="DC47" t="s">
        <v>262</v>
      </c>
      <c r="DD47" t="s">
        <v>693</v>
      </c>
      <c r="DE47" t="s">
        <v>3281</v>
      </c>
      <c r="DF47" t="s">
        <v>3282</v>
      </c>
    </row>
    <row r="48" spans="1:114" x14ac:dyDescent="0.25">
      <c r="A48">
        <v>1803</v>
      </c>
      <c r="C48" t="s">
        <v>13</v>
      </c>
      <c r="D48" t="s">
        <v>3330</v>
      </c>
      <c r="E48" t="s">
        <v>1914</v>
      </c>
      <c r="H48" t="s">
        <v>3331</v>
      </c>
      <c r="I48" t="s">
        <v>219</v>
      </c>
      <c r="J48" s="5">
        <v>1344</v>
      </c>
      <c r="K48" t="s">
        <v>265</v>
      </c>
      <c r="L48">
        <v>13</v>
      </c>
      <c r="M48" s="7" t="s">
        <v>338</v>
      </c>
      <c r="N48" t="s">
        <v>986</v>
      </c>
      <c r="W48" t="s">
        <v>225</v>
      </c>
      <c r="X48" t="s">
        <v>225</v>
      </c>
      <c r="Y48">
        <v>1</v>
      </c>
      <c r="Z48" t="s">
        <v>225</v>
      </c>
      <c r="AA48" t="s">
        <v>225</v>
      </c>
      <c r="AB48" t="s">
        <v>225</v>
      </c>
      <c r="AC48" t="s">
        <v>225</v>
      </c>
      <c r="AD48" t="s">
        <v>225</v>
      </c>
      <c r="AE48" t="s">
        <v>225</v>
      </c>
      <c r="AF48" t="s">
        <v>225</v>
      </c>
      <c r="AG48" t="s">
        <v>225</v>
      </c>
      <c r="AH48" t="s">
        <v>225</v>
      </c>
      <c r="AI48" t="s">
        <v>225</v>
      </c>
      <c r="AJ48" t="s">
        <v>225</v>
      </c>
      <c r="AK48" t="s">
        <v>225</v>
      </c>
      <c r="AL48" t="s">
        <v>225</v>
      </c>
      <c r="AM48" t="s">
        <v>225</v>
      </c>
      <c r="AN48" t="s">
        <v>225</v>
      </c>
      <c r="AO48" t="s">
        <v>225</v>
      </c>
      <c r="AP48" t="s">
        <v>225</v>
      </c>
      <c r="AQ48" t="s">
        <v>225</v>
      </c>
      <c r="AR48" t="s">
        <v>225</v>
      </c>
      <c r="AS48" t="s">
        <v>225</v>
      </c>
      <c r="AT48" t="s">
        <v>225</v>
      </c>
      <c r="AU48" t="s">
        <v>225</v>
      </c>
      <c r="AV48" t="s">
        <v>225</v>
      </c>
      <c r="AW48" t="s">
        <v>225</v>
      </c>
      <c r="AX48" t="s">
        <v>225</v>
      </c>
      <c r="AY48" t="s">
        <v>225</v>
      </c>
      <c r="AZ48" t="s">
        <v>225</v>
      </c>
      <c r="BA48" t="s">
        <v>225</v>
      </c>
      <c r="BB48" t="s">
        <v>225</v>
      </c>
      <c r="BC48" t="s">
        <v>225</v>
      </c>
      <c r="BD48" t="s">
        <v>225</v>
      </c>
      <c r="BE48" t="s">
        <v>225</v>
      </c>
      <c r="BF48" t="s">
        <v>225</v>
      </c>
      <c r="BG48" t="s">
        <v>225</v>
      </c>
      <c r="BH48" t="s">
        <v>225</v>
      </c>
      <c r="BI48" t="s">
        <v>225</v>
      </c>
      <c r="BJ48" t="s">
        <v>225</v>
      </c>
      <c r="BK48" t="s">
        <v>225</v>
      </c>
      <c r="BL48" t="s">
        <v>225</v>
      </c>
      <c r="BN48" t="s">
        <v>398</v>
      </c>
      <c r="BQ48" t="s">
        <v>539</v>
      </c>
      <c r="BR48" s="5">
        <v>0</v>
      </c>
      <c r="BS48" s="5">
        <v>0</v>
      </c>
      <c r="BT48" s="5">
        <v>0</v>
      </c>
      <c r="BU48" s="5">
        <f>(BS48/8+BT48/4)*39</f>
        <v>0</v>
      </c>
      <c r="BV48" s="5">
        <v>0</v>
      </c>
      <c r="BW48" s="5">
        <v>0</v>
      </c>
      <c r="BX48" s="5">
        <v>0</v>
      </c>
      <c r="BY48" s="5">
        <v>0</v>
      </c>
      <c r="BZ48" s="5">
        <v>0</v>
      </c>
      <c r="CA48" s="5">
        <v>0</v>
      </c>
      <c r="CB48" s="5">
        <v>0</v>
      </c>
      <c r="CC48" s="5">
        <f>(BV48+BW48/2+BX48/8+BY48/16+BZ48/4+CA48/32)*39</f>
        <v>0</v>
      </c>
      <c r="CD48" s="5">
        <v>0</v>
      </c>
      <c r="CE48" s="5">
        <v>0</v>
      </c>
      <c r="CF48" s="5">
        <f>1/2</f>
        <v>0.5</v>
      </c>
      <c r="CG48" s="5">
        <v>0</v>
      </c>
      <c r="CH48" s="5">
        <v>0</v>
      </c>
      <c r="CI48" s="5">
        <v>0</v>
      </c>
      <c r="CJ48" s="5">
        <v>0</v>
      </c>
      <c r="CK48" s="5">
        <v>0</v>
      </c>
      <c r="CL48" s="5">
        <f>(CD48+CE48/2+CF48/8+CG48/16+CH48/4+CJ48/32+CK48/16)*39</f>
        <v>2.4375</v>
      </c>
      <c r="CM48" s="5">
        <v>0</v>
      </c>
      <c r="CN48" s="5">
        <v>0</v>
      </c>
      <c r="CO48" s="5">
        <v>0</v>
      </c>
      <c r="CP48" s="5">
        <v>0</v>
      </c>
      <c r="CQ48" s="5">
        <v>0</v>
      </c>
      <c r="CR48" t="s">
        <v>398</v>
      </c>
      <c r="CS48">
        <v>0</v>
      </c>
      <c r="CT48">
        <v>0</v>
      </c>
      <c r="CU48">
        <v>0</v>
      </c>
      <c r="CV48">
        <v>0</v>
      </c>
      <c r="CW48">
        <f>CS48+CT48/24+CU48/48+CV48/48</f>
        <v>0</v>
      </c>
      <c r="CX48">
        <v>0</v>
      </c>
      <c r="CZ48" t="s">
        <v>210</v>
      </c>
      <c r="DC48" t="s">
        <v>262</v>
      </c>
      <c r="DD48" t="s">
        <v>693</v>
      </c>
      <c r="DE48" t="s">
        <v>3336</v>
      </c>
      <c r="DF48" t="s">
        <v>3337</v>
      </c>
      <c r="DG48" t="s">
        <v>3310</v>
      </c>
    </row>
    <row r="49" spans="1:114" x14ac:dyDescent="0.25">
      <c r="A49">
        <v>801</v>
      </c>
      <c r="C49" t="s">
        <v>975</v>
      </c>
      <c r="D49" t="s">
        <v>974</v>
      </c>
      <c r="E49" t="s">
        <v>984</v>
      </c>
      <c r="F49" t="s">
        <v>3922</v>
      </c>
      <c r="G49" t="s">
        <v>3912</v>
      </c>
      <c r="H49" s="41" t="s">
        <v>976</v>
      </c>
      <c r="I49" t="s">
        <v>3219</v>
      </c>
      <c r="J49">
        <v>1343</v>
      </c>
      <c r="K49" t="s">
        <v>973</v>
      </c>
      <c r="L49" s="5">
        <v>4</v>
      </c>
      <c r="M49" s="7" t="s">
        <v>338</v>
      </c>
      <c r="N49" t="s">
        <v>986</v>
      </c>
      <c r="V49" t="s">
        <v>204</v>
      </c>
      <c r="W49" t="s">
        <v>225</v>
      </c>
      <c r="X49" t="s">
        <v>225</v>
      </c>
      <c r="Y49">
        <v>1</v>
      </c>
      <c r="Z49" t="s">
        <v>225</v>
      </c>
      <c r="AA49">
        <v>1</v>
      </c>
      <c r="AC49">
        <v>1</v>
      </c>
      <c r="AD49" t="s">
        <v>225</v>
      </c>
      <c r="AE49" t="s">
        <v>225</v>
      </c>
      <c r="AF49" t="s">
        <v>225</v>
      </c>
      <c r="AG49" t="s">
        <v>225</v>
      </c>
      <c r="AH49" t="s">
        <v>225</v>
      </c>
      <c r="AI49" t="s">
        <v>225</v>
      </c>
      <c r="AJ49" t="s">
        <v>225</v>
      </c>
      <c r="AK49" t="s">
        <v>225</v>
      </c>
      <c r="AL49" t="s">
        <v>225</v>
      </c>
      <c r="AM49" t="s">
        <v>225</v>
      </c>
      <c r="AN49" t="s">
        <v>225</v>
      </c>
      <c r="AO49" t="s">
        <v>225</v>
      </c>
      <c r="AP49" t="s">
        <v>225</v>
      </c>
      <c r="AQ49" t="s">
        <v>225</v>
      </c>
      <c r="AR49" t="s">
        <v>225</v>
      </c>
      <c r="AS49" t="s">
        <v>225</v>
      </c>
      <c r="AT49" t="s">
        <v>225</v>
      </c>
      <c r="AU49" t="s">
        <v>225</v>
      </c>
      <c r="AV49" t="s">
        <v>225</v>
      </c>
      <c r="AW49" t="s">
        <v>225</v>
      </c>
      <c r="AX49" t="s">
        <v>225</v>
      </c>
      <c r="AY49" t="s">
        <v>225</v>
      </c>
      <c r="AZ49" t="s">
        <v>225</v>
      </c>
      <c r="BA49" t="s">
        <v>225</v>
      </c>
      <c r="BB49" t="s">
        <v>225</v>
      </c>
      <c r="BC49" t="s">
        <v>225</v>
      </c>
      <c r="BD49" t="s">
        <v>225</v>
      </c>
      <c r="BE49" t="s">
        <v>225</v>
      </c>
      <c r="BF49" t="s">
        <v>225</v>
      </c>
      <c r="BG49" t="s">
        <v>225</v>
      </c>
      <c r="BH49" t="s">
        <v>225</v>
      </c>
      <c r="BI49" t="s">
        <v>225</v>
      </c>
      <c r="BJ49" t="s">
        <v>225</v>
      </c>
      <c r="BK49" t="s">
        <v>225</v>
      </c>
      <c r="BL49" t="s">
        <v>225</v>
      </c>
      <c r="BN49" t="s">
        <v>985</v>
      </c>
      <c r="BP49" t="s">
        <v>977</v>
      </c>
      <c r="BR49" s="5">
        <v>0</v>
      </c>
      <c r="BS49" s="5">
        <v>0</v>
      </c>
      <c r="BT49" s="5">
        <v>0</v>
      </c>
      <c r="BU49" s="5">
        <f>(BS49/8+BT49/4)*39</f>
        <v>0</v>
      </c>
      <c r="BV49" s="5">
        <v>0</v>
      </c>
      <c r="BW49" s="5">
        <v>0</v>
      </c>
      <c r="BX49" s="5">
        <v>0</v>
      </c>
      <c r="BY49" s="5">
        <v>0</v>
      </c>
      <c r="BZ49" s="5">
        <v>0</v>
      </c>
      <c r="CA49" s="5">
        <v>0</v>
      </c>
      <c r="CB49" s="5">
        <v>0</v>
      </c>
      <c r="CC49" s="5">
        <f>(BV49+BW49/2+BX49/8+BY49/16+BZ49/4+CA49/32)*39</f>
        <v>0</v>
      </c>
      <c r="CD49" s="5">
        <v>0</v>
      </c>
      <c r="CE49" s="5">
        <v>0</v>
      </c>
      <c r="CF49" s="5">
        <v>0</v>
      </c>
      <c r="CG49" s="5">
        <v>0</v>
      </c>
      <c r="CH49" s="5">
        <v>0</v>
      </c>
      <c r="CI49" s="5">
        <v>0</v>
      </c>
      <c r="CJ49" s="5">
        <v>0</v>
      </c>
      <c r="CK49" s="5">
        <v>0</v>
      </c>
      <c r="CL49" s="5">
        <f>(CD49+CE49/2+CF49/8+CG49/16+CH49/4+CJ49/32+CK49/16)*39</f>
        <v>0</v>
      </c>
      <c r="CM49" s="5">
        <v>0</v>
      </c>
      <c r="CN49" s="5">
        <v>0</v>
      </c>
      <c r="CO49" s="5">
        <v>0</v>
      </c>
      <c r="CP49" s="5">
        <v>0</v>
      </c>
      <c r="CQ49" s="5">
        <v>0</v>
      </c>
      <c r="CS49">
        <f>20/12</f>
        <v>1.6666666666666667</v>
      </c>
      <c r="CT49">
        <v>0</v>
      </c>
      <c r="CU49">
        <v>0</v>
      </c>
      <c r="CV49">
        <v>0</v>
      </c>
      <c r="CW49">
        <f>CS49+CT49/24+CU49/48+CV49/48</f>
        <v>1.6666666666666667</v>
      </c>
      <c r="CX49">
        <v>0</v>
      </c>
      <c r="CZ49" t="s">
        <v>210</v>
      </c>
      <c r="DC49" t="s">
        <v>539</v>
      </c>
      <c r="DD49" t="s">
        <v>693</v>
      </c>
      <c r="DE49" t="s">
        <v>573</v>
      </c>
      <c r="DF49" t="s">
        <v>987</v>
      </c>
    </row>
    <row r="50" spans="1:114" x14ac:dyDescent="0.25">
      <c r="A50">
        <v>162</v>
      </c>
      <c r="C50" t="s">
        <v>39</v>
      </c>
      <c r="D50" t="s">
        <v>1220</v>
      </c>
      <c r="E50" t="s">
        <v>197</v>
      </c>
      <c r="H50" t="s">
        <v>1221</v>
      </c>
      <c r="I50" t="s">
        <v>219</v>
      </c>
      <c r="J50">
        <v>1342</v>
      </c>
      <c r="K50" t="s">
        <v>198</v>
      </c>
      <c r="L50">
        <v>18</v>
      </c>
      <c r="M50" s="8" t="s">
        <v>338</v>
      </c>
      <c r="N50" t="s">
        <v>236</v>
      </c>
      <c r="O50" t="s">
        <v>201</v>
      </c>
      <c r="P50" t="s">
        <v>225</v>
      </c>
      <c r="Q50" s="19" t="s">
        <v>205</v>
      </c>
      <c r="R50" t="s">
        <v>205</v>
      </c>
      <c r="S50" t="s">
        <v>205</v>
      </c>
      <c r="T50" t="s">
        <v>225</v>
      </c>
      <c r="W50" t="s">
        <v>205</v>
      </c>
      <c r="X50" t="s">
        <v>205</v>
      </c>
      <c r="Y50" t="s">
        <v>205</v>
      </c>
      <c r="Z50" t="s">
        <v>205</v>
      </c>
      <c r="AA50" t="s">
        <v>205</v>
      </c>
      <c r="AB50" t="s">
        <v>205</v>
      </c>
      <c r="AC50" t="s">
        <v>205</v>
      </c>
      <c r="AD50" t="s">
        <v>225</v>
      </c>
      <c r="AE50" t="s">
        <v>205</v>
      </c>
      <c r="AF50" t="s">
        <v>205</v>
      </c>
      <c r="AG50" t="s">
        <v>225</v>
      </c>
      <c r="AH50" t="s">
        <v>205</v>
      </c>
      <c r="AI50" t="s">
        <v>225</v>
      </c>
      <c r="AJ50" t="s">
        <v>225</v>
      </c>
      <c r="AK50" t="s">
        <v>225</v>
      </c>
      <c r="AL50" t="s">
        <v>225</v>
      </c>
      <c r="AM50" t="s">
        <v>225</v>
      </c>
      <c r="AN50" t="s">
        <v>225</v>
      </c>
      <c r="AO50" t="s">
        <v>225</v>
      </c>
      <c r="AP50" t="s">
        <v>225</v>
      </c>
      <c r="AQ50" t="s">
        <v>225</v>
      </c>
      <c r="AR50" t="s">
        <v>225</v>
      </c>
      <c r="AS50" t="s">
        <v>225</v>
      </c>
      <c r="AT50" t="s">
        <v>225</v>
      </c>
      <c r="AU50" t="s">
        <v>225</v>
      </c>
      <c r="AV50" t="s">
        <v>225</v>
      </c>
      <c r="AW50" t="s">
        <v>225</v>
      </c>
      <c r="AX50" t="s">
        <v>225</v>
      </c>
      <c r="AY50" t="s">
        <v>225</v>
      </c>
      <c r="AZ50" t="s">
        <v>225</v>
      </c>
      <c r="BA50" t="s">
        <v>225</v>
      </c>
      <c r="BB50" t="s">
        <v>225</v>
      </c>
      <c r="BC50" t="s">
        <v>225</v>
      </c>
      <c r="BD50" t="s">
        <v>225</v>
      </c>
      <c r="BE50" t="s">
        <v>225</v>
      </c>
      <c r="BF50" t="s">
        <v>225</v>
      </c>
      <c r="BG50" t="s">
        <v>225</v>
      </c>
      <c r="BH50" t="s">
        <v>225</v>
      </c>
      <c r="BI50" t="s">
        <v>225</v>
      </c>
      <c r="BJ50" t="s">
        <v>225</v>
      </c>
      <c r="BK50" t="s">
        <v>225</v>
      </c>
      <c r="BL50" t="s">
        <v>205</v>
      </c>
      <c r="BN50" t="s">
        <v>1227</v>
      </c>
      <c r="BO50" t="s">
        <v>1198</v>
      </c>
      <c r="BP50" t="s">
        <v>461</v>
      </c>
      <c r="BQ50" t="s">
        <v>3563</v>
      </c>
      <c r="BR50">
        <f>1/2+1/2</f>
        <v>1</v>
      </c>
      <c r="BS50">
        <v>0</v>
      </c>
      <c r="BT50">
        <v>0</v>
      </c>
      <c r="BU50" s="5">
        <f>(BS50/8+BT50/4)*39</f>
        <v>0</v>
      </c>
      <c r="BV50">
        <v>0</v>
      </c>
      <c r="BW50">
        <v>0</v>
      </c>
      <c r="BX50">
        <f>3+1+1/2</f>
        <v>4.5</v>
      </c>
      <c r="BY50">
        <v>0</v>
      </c>
      <c r="BZ50">
        <v>1</v>
      </c>
      <c r="CA50">
        <v>0</v>
      </c>
      <c r="CB50">
        <v>0</v>
      </c>
      <c r="CC50" s="5">
        <f>(BV50+BW50/2+BX50/8+BY50/16+BZ50/4+CA50/32)*39</f>
        <v>31.6875</v>
      </c>
      <c r="CD50">
        <v>0</v>
      </c>
      <c r="CE50">
        <v>0</v>
      </c>
      <c r="CF50">
        <f>1/2+1+1/2</f>
        <v>2</v>
      </c>
      <c r="CG50">
        <f>3+1</f>
        <v>4</v>
      </c>
      <c r="CH50">
        <v>0</v>
      </c>
      <c r="CI50">
        <v>0</v>
      </c>
      <c r="CJ50">
        <v>0</v>
      </c>
      <c r="CK50">
        <v>0</v>
      </c>
      <c r="CL50" s="5">
        <f>(CD50+CE50/2+CF50/8+CG50/16+CH50/4+CJ50/32+CK50/16)*39</f>
        <v>19.5</v>
      </c>
      <c r="CM50">
        <v>0</v>
      </c>
      <c r="CN50">
        <v>0</v>
      </c>
      <c r="CO50">
        <v>0</v>
      </c>
      <c r="CP50">
        <v>0</v>
      </c>
      <c r="CQ50">
        <v>0</v>
      </c>
      <c r="CR50" t="s">
        <v>757</v>
      </c>
      <c r="CS50">
        <f>5+8/12+4+6/12</f>
        <v>10.166666666666668</v>
      </c>
      <c r="CT50">
        <v>0</v>
      </c>
      <c r="CU50">
        <v>1</v>
      </c>
      <c r="CV50">
        <v>0</v>
      </c>
      <c r="CW50">
        <f>CS50+CT50/24+CU50/48+CV50/48</f>
        <v>10.187500000000002</v>
      </c>
      <c r="CX50">
        <v>0</v>
      </c>
      <c r="CZ50" t="s">
        <v>210</v>
      </c>
      <c r="DA50" t="s">
        <v>456</v>
      </c>
      <c r="DB50" t="s">
        <v>1229</v>
      </c>
      <c r="DC50" t="s">
        <v>262</v>
      </c>
      <c r="DD50" t="s">
        <v>693</v>
      </c>
      <c r="DE50" t="s">
        <v>1230</v>
      </c>
      <c r="DF50" t="s">
        <v>1231</v>
      </c>
      <c r="DG50" t="s">
        <v>1232</v>
      </c>
    </row>
    <row r="51" spans="1:114" x14ac:dyDescent="0.25">
      <c r="A51">
        <v>201</v>
      </c>
      <c r="C51" t="s">
        <v>11</v>
      </c>
      <c r="D51" t="s">
        <v>1220</v>
      </c>
      <c r="E51" t="s">
        <v>197</v>
      </c>
      <c r="G51" t="s">
        <v>1272</v>
      </c>
      <c r="I51" t="s">
        <v>219</v>
      </c>
      <c r="J51">
        <v>1342</v>
      </c>
      <c r="K51" t="s">
        <v>198</v>
      </c>
      <c r="L51">
        <v>18</v>
      </c>
      <c r="M51" s="7" t="s">
        <v>338</v>
      </c>
      <c r="N51" t="s">
        <v>236</v>
      </c>
      <c r="O51" t="s">
        <v>201</v>
      </c>
      <c r="P51" t="s">
        <v>225</v>
      </c>
      <c r="Q51" s="19" t="s">
        <v>205</v>
      </c>
      <c r="R51" t="s">
        <v>205</v>
      </c>
      <c r="S51" t="s">
        <v>205</v>
      </c>
      <c r="T51" t="s">
        <v>225</v>
      </c>
      <c r="W51">
        <v>1</v>
      </c>
      <c r="X51">
        <v>1</v>
      </c>
      <c r="Y51" t="s">
        <v>205</v>
      </c>
      <c r="Z51" t="s">
        <v>205</v>
      </c>
      <c r="AA51" t="s">
        <v>225</v>
      </c>
      <c r="AB51" t="s">
        <v>205</v>
      </c>
      <c r="AC51" t="s">
        <v>205</v>
      </c>
      <c r="AD51" t="s">
        <v>225</v>
      </c>
      <c r="AE51" t="s">
        <v>205</v>
      </c>
      <c r="AF51" t="s">
        <v>205</v>
      </c>
      <c r="AG51">
        <v>1</v>
      </c>
      <c r="AH51" t="s">
        <v>225</v>
      </c>
      <c r="AI51" t="s">
        <v>225</v>
      </c>
      <c r="AJ51" t="s">
        <v>225</v>
      </c>
      <c r="AK51" t="s">
        <v>225</v>
      </c>
      <c r="AL51" t="s">
        <v>225</v>
      </c>
      <c r="AM51" t="s">
        <v>225</v>
      </c>
      <c r="AN51" t="s">
        <v>225</v>
      </c>
      <c r="AO51" t="s">
        <v>225</v>
      </c>
      <c r="AP51" t="s">
        <v>225</v>
      </c>
      <c r="AQ51" t="s">
        <v>225</v>
      </c>
      <c r="AR51" t="s">
        <v>225</v>
      </c>
      <c r="AS51" t="s">
        <v>225</v>
      </c>
      <c r="AT51" t="s">
        <v>225</v>
      </c>
      <c r="AU51" t="s">
        <v>225</v>
      </c>
      <c r="AV51" t="s">
        <v>225</v>
      </c>
      <c r="AW51" t="s">
        <v>225</v>
      </c>
      <c r="AX51" t="s">
        <v>225</v>
      </c>
      <c r="AY51" t="s">
        <v>225</v>
      </c>
      <c r="AZ51" t="s">
        <v>225</v>
      </c>
      <c r="BA51" t="s">
        <v>225</v>
      </c>
      <c r="BB51" t="s">
        <v>225</v>
      </c>
      <c r="BC51" t="s">
        <v>225</v>
      </c>
      <c r="BD51" t="s">
        <v>225</v>
      </c>
      <c r="BE51" t="s">
        <v>225</v>
      </c>
      <c r="BF51" t="s">
        <v>225</v>
      </c>
      <c r="BG51" t="s">
        <v>225</v>
      </c>
      <c r="BH51" t="s">
        <v>225</v>
      </c>
      <c r="BI51" t="s">
        <v>225</v>
      </c>
      <c r="BJ51" t="s">
        <v>225</v>
      </c>
      <c r="BK51" t="s">
        <v>225</v>
      </c>
      <c r="BL51" t="s">
        <v>205</v>
      </c>
      <c r="BN51" t="s">
        <v>1278</v>
      </c>
      <c r="BO51" t="s">
        <v>1198</v>
      </c>
      <c r="BQ51" t="s">
        <v>3563</v>
      </c>
      <c r="BR51">
        <f>1+1/2</f>
        <v>1.5</v>
      </c>
      <c r="BS51">
        <v>0</v>
      </c>
      <c r="BT51">
        <v>0</v>
      </c>
      <c r="BU51" s="5">
        <f>(BS51/8+BT51/4)*39</f>
        <v>0</v>
      </c>
      <c r="BV51">
        <v>0</v>
      </c>
      <c r="BW51">
        <v>0</v>
      </c>
      <c r="BX51">
        <v>12</v>
      </c>
      <c r="BY51">
        <v>0</v>
      </c>
      <c r="BZ51">
        <v>0</v>
      </c>
      <c r="CA51">
        <v>0</v>
      </c>
      <c r="CB51">
        <v>0</v>
      </c>
      <c r="CC51" s="5">
        <f>(BV51+BW51/2+BX51/8+BY51/16+BZ51/4+CA51/32)*39</f>
        <v>58.5</v>
      </c>
      <c r="CD51">
        <v>1</v>
      </c>
      <c r="CE51">
        <v>0</v>
      </c>
      <c r="CF51">
        <v>0</v>
      </c>
      <c r="CG51">
        <v>0</v>
      </c>
      <c r="CH51">
        <v>0</v>
      </c>
      <c r="CI51">
        <v>0</v>
      </c>
      <c r="CJ51">
        <v>0</v>
      </c>
      <c r="CK51">
        <v>0</v>
      </c>
      <c r="CL51" s="5">
        <f>(CD51+CE51/2+CF51/8+CG51/16+CH51/4+CJ51/32+CK51/16)*39</f>
        <v>39</v>
      </c>
      <c r="CM51">
        <v>0</v>
      </c>
      <c r="CN51">
        <v>0</v>
      </c>
      <c r="CO51">
        <v>0</v>
      </c>
      <c r="CP51">
        <v>0</v>
      </c>
      <c r="CQ51">
        <v>0</v>
      </c>
      <c r="CR51" t="s">
        <v>719</v>
      </c>
      <c r="CS51">
        <f>10+10/12+2/12</f>
        <v>11</v>
      </c>
      <c r="CT51">
        <v>0</v>
      </c>
      <c r="CU51">
        <v>0</v>
      </c>
      <c r="CV51">
        <v>0</v>
      </c>
      <c r="CW51">
        <f>CS51+CT51/24+CU51/48+CV51/48</f>
        <v>11</v>
      </c>
      <c r="CX51">
        <v>0</v>
      </c>
      <c r="CY51" t="s">
        <v>248</v>
      </c>
      <c r="CZ51" t="s">
        <v>210</v>
      </c>
      <c r="DA51" t="s">
        <v>456</v>
      </c>
      <c r="DB51" t="s">
        <v>1279</v>
      </c>
      <c r="DC51" t="s">
        <v>1280</v>
      </c>
      <c r="DD51" t="s">
        <v>693</v>
      </c>
      <c r="DE51" t="s">
        <v>1254</v>
      </c>
      <c r="DF51" t="s">
        <v>1281</v>
      </c>
      <c r="DG51" t="s">
        <v>1315</v>
      </c>
    </row>
    <row r="52" spans="1:114" x14ac:dyDescent="0.25">
      <c r="A52">
        <v>1133</v>
      </c>
      <c r="C52" t="s">
        <v>1450</v>
      </c>
      <c r="D52" t="s">
        <v>1451</v>
      </c>
      <c r="E52" t="s">
        <v>1406</v>
      </c>
      <c r="H52" t="s">
        <v>1452</v>
      </c>
      <c r="I52" t="s">
        <v>220</v>
      </c>
      <c r="J52">
        <v>1343</v>
      </c>
      <c r="K52" t="s">
        <v>973</v>
      </c>
      <c r="L52">
        <v>29</v>
      </c>
      <c r="M52" s="7" t="s">
        <v>338</v>
      </c>
      <c r="BP52" t="s">
        <v>1453</v>
      </c>
      <c r="BQ52" s="1" t="s">
        <v>1642</v>
      </c>
      <c r="BR52" s="5">
        <v>0</v>
      </c>
      <c r="BS52" s="5">
        <v>0</v>
      </c>
      <c r="BT52" s="5">
        <v>0</v>
      </c>
      <c r="BU52" s="5">
        <f>(BS52/8+BT52/4)*39</f>
        <v>0</v>
      </c>
      <c r="BV52" s="5">
        <v>0</v>
      </c>
      <c r="BW52" s="5">
        <v>0</v>
      </c>
      <c r="BX52" s="5">
        <f>1+1</f>
        <v>2</v>
      </c>
      <c r="BY52" s="5">
        <v>0</v>
      </c>
      <c r="BZ52" s="5">
        <v>0</v>
      </c>
      <c r="CA52" s="5">
        <v>0</v>
      </c>
      <c r="CB52" s="5">
        <v>0</v>
      </c>
      <c r="CC52" s="5">
        <f>(BV52+BW52/2+BX52/8+BY52/16+BZ52/4+CA52/32)*39</f>
        <v>9.75</v>
      </c>
      <c r="CD52" s="5">
        <v>0</v>
      </c>
      <c r="CE52" s="5">
        <v>0</v>
      </c>
      <c r="CF52" s="5">
        <f>1+1</f>
        <v>2</v>
      </c>
      <c r="CG52" s="5">
        <v>0</v>
      </c>
      <c r="CH52" s="5">
        <v>0</v>
      </c>
      <c r="CI52" s="5">
        <v>0</v>
      </c>
      <c r="CJ52" s="5">
        <v>0</v>
      </c>
      <c r="CK52" s="5">
        <v>0</v>
      </c>
      <c r="CL52" s="5">
        <f>(CD52+CE52/2+CF52/8+CG52/16+CH52/4+CJ52/32+CK52/16)*39</f>
        <v>9.75</v>
      </c>
      <c r="CM52" s="5">
        <v>0</v>
      </c>
      <c r="CN52" s="5">
        <v>0</v>
      </c>
      <c r="CO52" s="5">
        <v>0</v>
      </c>
      <c r="CP52" s="5">
        <v>0</v>
      </c>
      <c r="CQ52" s="5">
        <v>0</v>
      </c>
      <c r="CS52">
        <f>6/12+2/12</f>
        <v>0.66666666666666663</v>
      </c>
      <c r="CT52">
        <f>1+1</f>
        <v>2</v>
      </c>
      <c r="CU52">
        <v>0</v>
      </c>
      <c r="CV52">
        <f>1+1</f>
        <v>2</v>
      </c>
      <c r="CW52">
        <f>CS52+CT52/24+CU52/48+CV52/48</f>
        <v>0.79166666666666663</v>
      </c>
      <c r="CX52">
        <v>0</v>
      </c>
    </row>
    <row r="53" spans="1:114" x14ac:dyDescent="0.25">
      <c r="A53">
        <v>792</v>
      </c>
      <c r="B53" t="s">
        <v>788</v>
      </c>
      <c r="C53" t="s">
        <v>250</v>
      </c>
      <c r="D53" t="s">
        <v>947</v>
      </c>
      <c r="E53" t="s">
        <v>776</v>
      </c>
      <c r="I53" t="s">
        <v>219</v>
      </c>
      <c r="J53">
        <v>1343</v>
      </c>
      <c r="K53" t="s">
        <v>383</v>
      </c>
      <c r="L53" s="5">
        <v>24</v>
      </c>
      <c r="M53" s="7" t="s">
        <v>338</v>
      </c>
      <c r="N53" t="s">
        <v>986</v>
      </c>
      <c r="W53" t="s">
        <v>225</v>
      </c>
      <c r="X53" t="s">
        <v>225</v>
      </c>
      <c r="Y53">
        <v>4</v>
      </c>
      <c r="Z53" t="s">
        <v>225</v>
      </c>
      <c r="AA53" t="s">
        <v>225</v>
      </c>
      <c r="AB53" t="s">
        <v>225</v>
      </c>
      <c r="AC53">
        <v>1</v>
      </c>
      <c r="AD53" t="s">
        <v>225</v>
      </c>
      <c r="AE53" t="s">
        <v>225</v>
      </c>
      <c r="AF53" t="s">
        <v>225</v>
      </c>
      <c r="AG53" t="s">
        <v>225</v>
      </c>
      <c r="AH53" t="s">
        <v>225</v>
      </c>
      <c r="AI53" t="s">
        <v>225</v>
      </c>
      <c r="AJ53" t="s">
        <v>225</v>
      </c>
      <c r="AK53" t="s">
        <v>225</v>
      </c>
      <c r="AL53" t="s">
        <v>225</v>
      </c>
      <c r="AM53" t="s">
        <v>225</v>
      </c>
      <c r="AN53" t="s">
        <v>225</v>
      </c>
      <c r="AO53" t="s">
        <v>225</v>
      </c>
      <c r="AP53">
        <v>3</v>
      </c>
      <c r="AQ53" t="s">
        <v>225</v>
      </c>
      <c r="AR53">
        <v>1</v>
      </c>
      <c r="AS53" t="s">
        <v>225</v>
      </c>
      <c r="AT53" t="s">
        <v>225</v>
      </c>
      <c r="AU53" t="s">
        <v>225</v>
      </c>
      <c r="AV53" t="s">
        <v>225</v>
      </c>
      <c r="AW53" t="s">
        <v>225</v>
      </c>
      <c r="AX53" t="s">
        <v>225</v>
      </c>
      <c r="AY53" t="s">
        <v>225</v>
      </c>
      <c r="AZ53" t="s">
        <v>225</v>
      </c>
      <c r="BA53" t="s">
        <v>225</v>
      </c>
      <c r="BB53" t="s">
        <v>225</v>
      </c>
      <c r="BC53" t="s">
        <v>225</v>
      </c>
      <c r="BD53" t="s">
        <v>225</v>
      </c>
      <c r="BE53" t="s">
        <v>225</v>
      </c>
      <c r="BF53" t="s">
        <v>225</v>
      </c>
      <c r="BG53" t="s">
        <v>225</v>
      </c>
      <c r="BH53" t="s">
        <v>225</v>
      </c>
      <c r="BI53" t="s">
        <v>225</v>
      </c>
      <c r="BJ53" t="s">
        <v>225</v>
      </c>
      <c r="BK53" t="s">
        <v>225</v>
      </c>
      <c r="BL53" t="s">
        <v>225</v>
      </c>
      <c r="BN53" t="s">
        <v>970</v>
      </c>
      <c r="BQ53" t="s">
        <v>1455</v>
      </c>
      <c r="BR53" s="5">
        <v>0</v>
      </c>
      <c r="BS53" s="5">
        <v>0</v>
      </c>
      <c r="BT53" s="5">
        <v>0</v>
      </c>
      <c r="BU53" s="5">
        <f>(BS53/8+BT53/4)*39</f>
        <v>0</v>
      </c>
      <c r="BV53" s="5">
        <v>0</v>
      </c>
      <c r="BW53" s="5">
        <v>0</v>
      </c>
      <c r="BX53" s="5">
        <v>1</v>
      </c>
      <c r="BY53" s="5">
        <v>0</v>
      </c>
      <c r="BZ53" s="5">
        <v>0</v>
      </c>
      <c r="CA53" s="5">
        <v>0</v>
      </c>
      <c r="CB53" s="5">
        <v>0</v>
      </c>
      <c r="CC53" s="5">
        <f>(BV53+BW53/2+BX53/8+BY53/16+BZ53/4+CA53/32)*39</f>
        <v>4.875</v>
      </c>
      <c r="CD53" s="5">
        <v>0</v>
      </c>
      <c r="CE53" s="5">
        <v>0</v>
      </c>
      <c r="CF53" s="5">
        <v>1</v>
      </c>
      <c r="CG53" s="5">
        <v>0</v>
      </c>
      <c r="CH53" s="5">
        <v>0</v>
      </c>
      <c r="CI53" s="5">
        <v>0</v>
      </c>
      <c r="CJ53" s="5">
        <v>0</v>
      </c>
      <c r="CK53" s="5">
        <v>0</v>
      </c>
      <c r="CL53" s="5">
        <f>(CD53+CE53/2+CF53/8+CG53/16+CH53/4+CJ53/32+CK53/16)*39</f>
        <v>4.875</v>
      </c>
      <c r="CM53" s="5">
        <v>0</v>
      </c>
      <c r="CN53" s="5">
        <v>0</v>
      </c>
      <c r="CO53" s="5">
        <v>0</v>
      </c>
      <c r="CP53" s="5">
        <v>0</v>
      </c>
      <c r="CQ53" s="5">
        <v>0</v>
      </c>
      <c r="CS53">
        <f>3/12</f>
        <v>0.25</v>
      </c>
      <c r="CT53">
        <v>0</v>
      </c>
      <c r="CU53">
        <v>0</v>
      </c>
      <c r="CV53">
        <v>0</v>
      </c>
      <c r="CW53">
        <f>CS53+CT53/24+CU53/48+CV53/48</f>
        <v>0.25</v>
      </c>
      <c r="CX53">
        <v>0</v>
      </c>
      <c r="CZ53" t="s">
        <v>210</v>
      </c>
      <c r="DA53" t="s">
        <v>589</v>
      </c>
      <c r="DB53" t="s">
        <v>405</v>
      </c>
      <c r="DC53" t="s">
        <v>262</v>
      </c>
      <c r="DD53" t="s">
        <v>693</v>
      </c>
      <c r="DE53" t="s">
        <v>971</v>
      </c>
      <c r="DF53" t="s">
        <v>972</v>
      </c>
      <c r="DJ53" t="s">
        <v>483</v>
      </c>
    </row>
    <row r="54" spans="1:114" x14ac:dyDescent="0.25">
      <c r="A54">
        <v>1493</v>
      </c>
      <c r="C54" t="s">
        <v>11</v>
      </c>
      <c r="D54" t="s">
        <v>2513</v>
      </c>
      <c r="E54" t="s">
        <v>2522</v>
      </c>
      <c r="H54" t="s">
        <v>2514</v>
      </c>
      <c r="I54" t="s">
        <v>219</v>
      </c>
      <c r="J54" s="16">
        <v>1342</v>
      </c>
      <c r="K54" s="16" t="s">
        <v>817</v>
      </c>
      <c r="L54" t="s">
        <v>15</v>
      </c>
      <c r="M54" s="7" t="s">
        <v>338</v>
      </c>
      <c r="V54" t="s">
        <v>1463</v>
      </c>
      <c r="W54" t="s">
        <v>225</v>
      </c>
      <c r="X54" t="s">
        <v>225</v>
      </c>
      <c r="Y54">
        <v>2</v>
      </c>
      <c r="Z54" t="s">
        <v>225</v>
      </c>
      <c r="AA54" t="s">
        <v>225</v>
      </c>
      <c r="AB54" t="s">
        <v>225</v>
      </c>
      <c r="AC54" t="s">
        <v>225</v>
      </c>
      <c r="AD54" t="s">
        <v>225</v>
      </c>
      <c r="AE54" t="s">
        <v>225</v>
      </c>
      <c r="AF54" t="s">
        <v>225</v>
      </c>
      <c r="AG54" t="s">
        <v>225</v>
      </c>
      <c r="AH54" t="s">
        <v>225</v>
      </c>
      <c r="AI54" t="s">
        <v>225</v>
      </c>
      <c r="AJ54" t="s">
        <v>225</v>
      </c>
      <c r="AK54" t="s">
        <v>225</v>
      </c>
      <c r="AL54" t="s">
        <v>225</v>
      </c>
      <c r="AM54" t="s">
        <v>225</v>
      </c>
      <c r="AN54" t="s">
        <v>225</v>
      </c>
      <c r="AO54" t="s">
        <v>225</v>
      </c>
      <c r="AP54" t="s">
        <v>225</v>
      </c>
      <c r="AQ54" t="s">
        <v>225</v>
      </c>
      <c r="AR54" t="s">
        <v>225</v>
      </c>
      <c r="AS54" t="s">
        <v>225</v>
      </c>
      <c r="AT54" t="s">
        <v>225</v>
      </c>
      <c r="AU54" t="s">
        <v>225</v>
      </c>
      <c r="AV54" t="s">
        <v>225</v>
      </c>
      <c r="AW54" t="s">
        <v>225</v>
      </c>
      <c r="AX54" t="s">
        <v>225</v>
      </c>
      <c r="AY54" t="s">
        <v>225</v>
      </c>
      <c r="AZ54" t="s">
        <v>225</v>
      </c>
      <c r="BA54" t="s">
        <v>225</v>
      </c>
      <c r="BB54" t="s">
        <v>225</v>
      </c>
      <c r="BC54" t="s">
        <v>225</v>
      </c>
      <c r="BD54" t="s">
        <v>225</v>
      </c>
      <c r="BE54" t="s">
        <v>225</v>
      </c>
      <c r="BF54" t="s">
        <v>225</v>
      </c>
      <c r="BG54" t="s">
        <v>225</v>
      </c>
      <c r="BH54" t="s">
        <v>225</v>
      </c>
      <c r="BI54" t="s">
        <v>225</v>
      </c>
      <c r="BJ54" t="s">
        <v>225</v>
      </c>
      <c r="BK54" t="s">
        <v>225</v>
      </c>
      <c r="BL54" t="s">
        <v>225</v>
      </c>
      <c r="BN54" t="s">
        <v>2521</v>
      </c>
      <c r="BP54" t="s">
        <v>467</v>
      </c>
      <c r="BR54" s="5">
        <v>0</v>
      </c>
      <c r="BS54" s="5">
        <v>0</v>
      </c>
      <c r="BT54" s="5">
        <v>0</v>
      </c>
      <c r="BU54" s="5">
        <f>(BS54/8+BT54/4)*39</f>
        <v>0</v>
      </c>
      <c r="BV54" s="5">
        <v>0</v>
      </c>
      <c r="BW54" s="5">
        <v>0</v>
      </c>
      <c r="BX54" s="5">
        <v>0</v>
      </c>
      <c r="BY54" s="5">
        <v>0</v>
      </c>
      <c r="BZ54" s="5">
        <v>0</v>
      </c>
      <c r="CA54" s="5">
        <v>0</v>
      </c>
      <c r="CB54" s="5">
        <v>0</v>
      </c>
      <c r="CC54" s="5">
        <f>(BV54+BW54/2+BX54/8+BY54/16+BZ54/4+CA54/32)*39</f>
        <v>0</v>
      </c>
      <c r="CD54" s="5">
        <v>0</v>
      </c>
      <c r="CE54" s="5">
        <v>0</v>
      </c>
      <c r="CF54" s="5">
        <v>0</v>
      </c>
      <c r="CG54" s="5">
        <v>0</v>
      </c>
      <c r="CH54" s="5">
        <v>0</v>
      </c>
      <c r="CI54" s="5">
        <v>0</v>
      </c>
      <c r="CJ54" s="5">
        <v>0</v>
      </c>
      <c r="CK54" s="5">
        <v>0</v>
      </c>
      <c r="CL54" s="5">
        <f>(CD54+CE54/2+CF54/8+CG54/16+CH54/4+CJ54/32+CK54/16)*39</f>
        <v>0</v>
      </c>
      <c r="CM54" s="5">
        <v>0</v>
      </c>
      <c r="CN54" s="5">
        <v>0</v>
      </c>
      <c r="CO54" s="5">
        <v>0</v>
      </c>
      <c r="CP54" s="5">
        <v>0</v>
      </c>
      <c r="CQ54" s="5">
        <v>0</v>
      </c>
      <c r="CR54" t="s">
        <v>2540</v>
      </c>
      <c r="CS54">
        <f>6/12</f>
        <v>0.5</v>
      </c>
      <c r="CT54">
        <v>0</v>
      </c>
      <c r="CU54">
        <v>0</v>
      </c>
      <c r="CV54">
        <v>0</v>
      </c>
      <c r="CW54">
        <f>CS54+CT54/24+CU54/48+CV54/48</f>
        <v>0.5</v>
      </c>
      <c r="CX54">
        <v>0</v>
      </c>
      <c r="CZ54" t="s">
        <v>210</v>
      </c>
      <c r="DC54" s="26" t="s">
        <v>1569</v>
      </c>
      <c r="DD54" t="s">
        <v>693</v>
      </c>
      <c r="DE54" t="s">
        <v>752</v>
      </c>
      <c r="DF54" t="s">
        <v>1230</v>
      </c>
      <c r="DG54" t="s">
        <v>2541</v>
      </c>
    </row>
    <row r="55" spans="1:114" x14ac:dyDescent="0.25">
      <c r="A55">
        <v>1873</v>
      </c>
      <c r="C55" t="s">
        <v>465</v>
      </c>
      <c r="D55" t="s">
        <v>159</v>
      </c>
      <c r="E55" t="s">
        <v>2819</v>
      </c>
      <c r="F55" t="s">
        <v>3917</v>
      </c>
      <c r="G55" t="s">
        <v>3918</v>
      </c>
      <c r="I55" t="s">
        <v>219</v>
      </c>
      <c r="J55" s="5">
        <v>1346</v>
      </c>
      <c r="K55" t="s">
        <v>2149</v>
      </c>
      <c r="L55">
        <v>30</v>
      </c>
      <c r="M55" s="7" t="s">
        <v>338</v>
      </c>
      <c r="W55" t="s">
        <v>225</v>
      </c>
      <c r="X55" t="s">
        <v>225</v>
      </c>
      <c r="Y55" t="s">
        <v>225</v>
      </c>
      <c r="Z55" t="s">
        <v>225</v>
      </c>
      <c r="AA55" t="s">
        <v>225</v>
      </c>
      <c r="AB55" t="s">
        <v>225</v>
      </c>
      <c r="AC55" t="s">
        <v>225</v>
      </c>
      <c r="AD55" t="s">
        <v>225</v>
      </c>
      <c r="AE55" t="s">
        <v>225</v>
      </c>
      <c r="AF55" t="s">
        <v>225</v>
      </c>
      <c r="AG55" t="s">
        <v>225</v>
      </c>
      <c r="AH55" t="s">
        <v>225</v>
      </c>
      <c r="AI55" t="s">
        <v>225</v>
      </c>
      <c r="AJ55" t="s">
        <v>225</v>
      </c>
      <c r="AK55">
        <v>1</v>
      </c>
      <c r="AL55" t="s">
        <v>225</v>
      </c>
      <c r="AM55" t="s">
        <v>225</v>
      </c>
      <c r="AN55" t="s">
        <v>225</v>
      </c>
      <c r="AO55" t="s">
        <v>225</v>
      </c>
      <c r="AP55" t="s">
        <v>225</v>
      </c>
      <c r="AQ55" t="s">
        <v>225</v>
      </c>
      <c r="AR55" t="s">
        <v>225</v>
      </c>
      <c r="AS55" t="s">
        <v>225</v>
      </c>
      <c r="AT55" t="s">
        <v>225</v>
      </c>
      <c r="AU55" t="s">
        <v>225</v>
      </c>
      <c r="AV55" t="s">
        <v>225</v>
      </c>
      <c r="AW55" t="s">
        <v>225</v>
      </c>
      <c r="AX55" t="s">
        <v>225</v>
      </c>
      <c r="AY55" t="s">
        <v>225</v>
      </c>
      <c r="AZ55" t="s">
        <v>225</v>
      </c>
      <c r="BA55" t="s">
        <v>225</v>
      </c>
      <c r="BB55" t="s">
        <v>225</v>
      </c>
      <c r="BC55" t="s">
        <v>225</v>
      </c>
      <c r="BD55" t="s">
        <v>225</v>
      </c>
      <c r="BE55" t="s">
        <v>225</v>
      </c>
      <c r="BF55" t="s">
        <v>225</v>
      </c>
      <c r="BG55" t="s">
        <v>225</v>
      </c>
      <c r="BH55" t="s">
        <v>225</v>
      </c>
      <c r="BI55" t="s">
        <v>225</v>
      </c>
      <c r="BJ55" t="s">
        <v>225</v>
      </c>
      <c r="BK55" t="s">
        <v>225</v>
      </c>
      <c r="BL55" t="s">
        <v>225</v>
      </c>
      <c r="BM55" t="s">
        <v>3538</v>
      </c>
      <c r="BN55" t="s">
        <v>3516</v>
      </c>
      <c r="BQ55" t="s">
        <v>539</v>
      </c>
      <c r="BR55" s="5">
        <v>0</v>
      </c>
      <c r="BS55" s="5">
        <v>0</v>
      </c>
      <c r="BT55" s="5">
        <v>0</v>
      </c>
      <c r="BU55" s="5">
        <f>(BS55/8+BT55/4)*39</f>
        <v>0</v>
      </c>
      <c r="BV55" s="5">
        <v>0</v>
      </c>
      <c r="BW55" s="5">
        <v>0</v>
      </c>
      <c r="BX55" s="5">
        <v>0</v>
      </c>
      <c r="BY55" s="5">
        <v>0</v>
      </c>
      <c r="BZ55" s="5">
        <v>0</v>
      </c>
      <c r="CA55" s="5">
        <v>0</v>
      </c>
      <c r="CB55" s="5">
        <v>0</v>
      </c>
      <c r="CC55" s="5">
        <f>(BV55+BW55/2+BX55/8+BY55/16+BZ55/4+CA55/32)*39</f>
        <v>0</v>
      </c>
      <c r="CD55" s="5">
        <v>0</v>
      </c>
      <c r="CE55" s="5">
        <v>0</v>
      </c>
      <c r="CF55" s="5">
        <v>0</v>
      </c>
      <c r="CG55" s="5">
        <v>0</v>
      </c>
      <c r="CH55" s="5">
        <v>1</v>
      </c>
      <c r="CI55" s="5">
        <v>0</v>
      </c>
      <c r="CJ55" s="5">
        <v>0</v>
      </c>
      <c r="CK55" s="5">
        <v>0</v>
      </c>
      <c r="CL55" s="5">
        <f>(CD55+CE55/2+CF55/8+CG55/16+CH55/4+CJ55/32+CK55/16)*39</f>
        <v>9.75</v>
      </c>
      <c r="CM55" s="5">
        <v>0</v>
      </c>
      <c r="CN55" s="5">
        <v>0</v>
      </c>
      <c r="CO55" s="5">
        <v>0</v>
      </c>
      <c r="CP55" s="5">
        <v>0</v>
      </c>
      <c r="CQ55" s="5">
        <v>0</v>
      </c>
      <c r="CS55">
        <v>0</v>
      </c>
      <c r="CT55">
        <v>0</v>
      </c>
      <c r="CU55">
        <v>0</v>
      </c>
      <c r="CV55">
        <v>0</v>
      </c>
      <c r="CW55">
        <f>CS55+CT55/24+CU55/48+CV55/48</f>
        <v>0</v>
      </c>
      <c r="CX55">
        <v>0</v>
      </c>
      <c r="CZ55" t="s">
        <v>210</v>
      </c>
      <c r="DC55" t="s">
        <v>539</v>
      </c>
      <c r="DD55" t="s">
        <v>693</v>
      </c>
      <c r="DE55" t="s">
        <v>3539</v>
      </c>
      <c r="DF55" t="s">
        <v>3540</v>
      </c>
    </row>
    <row r="56" spans="1:114" x14ac:dyDescent="0.25">
      <c r="A56">
        <v>1361</v>
      </c>
      <c r="B56" t="s">
        <v>3955</v>
      </c>
      <c r="C56" t="s">
        <v>465</v>
      </c>
      <c r="D56" t="s">
        <v>1913</v>
      </c>
      <c r="E56" t="s">
        <v>2653</v>
      </c>
      <c r="F56" t="s">
        <v>1914</v>
      </c>
      <c r="G56" t="s">
        <v>1248</v>
      </c>
      <c r="H56" t="s">
        <v>1916</v>
      </c>
      <c r="I56" t="s">
        <v>219</v>
      </c>
      <c r="J56">
        <v>1343</v>
      </c>
      <c r="K56" t="s">
        <v>817</v>
      </c>
      <c r="L56">
        <v>12</v>
      </c>
      <c r="M56" s="7" t="s">
        <v>338</v>
      </c>
      <c r="N56" t="s">
        <v>3957</v>
      </c>
      <c r="P56" t="s">
        <v>225</v>
      </c>
      <c r="Q56" t="s">
        <v>205</v>
      </c>
      <c r="R56" t="s">
        <v>205</v>
      </c>
      <c r="S56" t="s">
        <v>205</v>
      </c>
      <c r="T56" t="s">
        <v>225</v>
      </c>
      <c r="W56">
        <v>2</v>
      </c>
      <c r="X56">
        <v>5</v>
      </c>
      <c r="Y56">
        <v>9</v>
      </c>
      <c r="Z56" t="s">
        <v>225</v>
      </c>
      <c r="AA56">
        <v>1</v>
      </c>
      <c r="AB56" t="s">
        <v>225</v>
      </c>
      <c r="AC56" t="s">
        <v>205</v>
      </c>
      <c r="AD56">
        <v>1</v>
      </c>
      <c r="AE56" t="s">
        <v>225</v>
      </c>
      <c r="AF56" t="s">
        <v>225</v>
      </c>
      <c r="AG56" t="s">
        <v>225</v>
      </c>
      <c r="AH56" t="s">
        <v>225</v>
      </c>
      <c r="AI56" t="s">
        <v>225</v>
      </c>
      <c r="AJ56" t="s">
        <v>225</v>
      </c>
      <c r="AK56" t="s">
        <v>225</v>
      </c>
      <c r="AL56">
        <v>2</v>
      </c>
      <c r="AM56" t="s">
        <v>225</v>
      </c>
      <c r="AN56" t="s">
        <v>225</v>
      </c>
      <c r="AO56" t="s">
        <v>225</v>
      </c>
      <c r="AP56" t="s">
        <v>225</v>
      </c>
      <c r="AQ56" t="s">
        <v>225</v>
      </c>
      <c r="AR56" t="s">
        <v>225</v>
      </c>
      <c r="AS56" t="s">
        <v>225</v>
      </c>
      <c r="AT56">
        <v>1</v>
      </c>
      <c r="AU56" t="s">
        <v>225</v>
      </c>
      <c r="AV56" t="s">
        <v>225</v>
      </c>
      <c r="AW56" t="s">
        <v>225</v>
      </c>
      <c r="AX56" t="s">
        <v>225</v>
      </c>
      <c r="AY56">
        <v>1</v>
      </c>
      <c r="AZ56" t="s">
        <v>225</v>
      </c>
      <c r="BA56" t="s">
        <v>225</v>
      </c>
      <c r="BB56" t="s">
        <v>225</v>
      </c>
      <c r="BC56" t="s">
        <v>225</v>
      </c>
      <c r="BD56" t="s">
        <v>225</v>
      </c>
      <c r="BE56" t="s">
        <v>225</v>
      </c>
      <c r="BF56" t="s">
        <v>225</v>
      </c>
      <c r="BG56" t="s">
        <v>225</v>
      </c>
      <c r="BH56" t="s">
        <v>225</v>
      </c>
      <c r="BI56" t="s">
        <v>225</v>
      </c>
      <c r="BJ56" t="s">
        <v>225</v>
      </c>
      <c r="BK56" t="s">
        <v>225</v>
      </c>
      <c r="BL56" t="s">
        <v>225</v>
      </c>
      <c r="BN56" s="5" t="s">
        <v>3951</v>
      </c>
      <c r="BP56" t="s">
        <v>1917</v>
      </c>
      <c r="BQ56" t="s">
        <v>539</v>
      </c>
      <c r="BR56" s="5">
        <f>1+1</f>
        <v>2</v>
      </c>
      <c r="BS56" s="5">
        <v>0</v>
      </c>
      <c r="BT56" s="5">
        <v>0</v>
      </c>
      <c r="BU56" s="5">
        <f>(BS56/8+BT56/4)*39</f>
        <v>0</v>
      </c>
      <c r="BV56" s="5">
        <v>0</v>
      </c>
      <c r="BW56" s="5">
        <v>0</v>
      </c>
      <c r="BX56" s="5">
        <v>3</v>
      </c>
      <c r="BY56" s="5">
        <v>1</v>
      </c>
      <c r="BZ56" s="5">
        <v>0</v>
      </c>
      <c r="CA56" s="5">
        <v>0</v>
      </c>
      <c r="CB56" s="5">
        <v>0</v>
      </c>
      <c r="CC56" s="5">
        <f>(BV56+BW56/2+BX56/8+BY56/16+BZ56/4+CA56/32)*39</f>
        <v>17.0625</v>
      </c>
      <c r="CD56" s="5">
        <v>0</v>
      </c>
      <c r="CE56" s="5">
        <v>0</v>
      </c>
      <c r="CF56" s="5">
        <f>1/2+1+1+3+1/2</f>
        <v>6</v>
      </c>
      <c r="CG56" s="5">
        <f>1+1+1+1</f>
        <v>4</v>
      </c>
      <c r="CH56" s="5">
        <v>0</v>
      </c>
      <c r="CI56" s="5">
        <v>0</v>
      </c>
      <c r="CJ56" s="5">
        <v>0</v>
      </c>
      <c r="CK56" s="5">
        <v>0</v>
      </c>
      <c r="CL56" s="5">
        <f>(CD56+CE56/2+CF56/8+CG56/16+CH56/4+CJ56/32+CK56/16)*39</f>
        <v>39</v>
      </c>
      <c r="CM56" s="5">
        <v>0</v>
      </c>
      <c r="CN56" s="5">
        <v>0</v>
      </c>
      <c r="CO56" s="5">
        <v>0</v>
      </c>
      <c r="CP56" s="5">
        <v>0</v>
      </c>
      <c r="CQ56" s="5">
        <v>0</v>
      </c>
      <c r="CR56" s="5" t="s">
        <v>3953</v>
      </c>
      <c r="CS56">
        <f>1/12+2+6/12+12/12+12/12+23/12+9/12+21/12+6/12+2+2/12+1/12</f>
        <v>11.75</v>
      </c>
      <c r="CT56">
        <v>1</v>
      </c>
      <c r="CU56">
        <f>3+1</f>
        <v>4</v>
      </c>
      <c r="CV56">
        <v>0</v>
      </c>
      <c r="CW56">
        <f>CS56+CT56/24+CU56/48+CV56/48</f>
        <v>11.875</v>
      </c>
      <c r="CX56">
        <f>1/12+1/12+1/12</f>
        <v>0.25</v>
      </c>
      <c r="CZ56" t="s">
        <v>210</v>
      </c>
      <c r="DD56" s="16" t="s">
        <v>693</v>
      </c>
    </row>
    <row r="57" spans="1:114" x14ac:dyDescent="0.25">
      <c r="A57">
        <v>1651</v>
      </c>
      <c r="C57" t="s">
        <v>23</v>
      </c>
      <c r="D57" t="s">
        <v>2938</v>
      </c>
      <c r="E57" t="s">
        <v>2940</v>
      </c>
      <c r="H57" t="s">
        <v>2939</v>
      </c>
      <c r="I57" t="s">
        <v>219</v>
      </c>
      <c r="J57" s="5">
        <v>1343</v>
      </c>
      <c r="K57" t="s">
        <v>249</v>
      </c>
      <c r="L57">
        <v>4</v>
      </c>
      <c r="M57" s="7" t="s">
        <v>338</v>
      </c>
      <c r="N57" s="8" t="s">
        <v>1052</v>
      </c>
      <c r="V57" t="s">
        <v>1463</v>
      </c>
      <c r="W57" t="s">
        <v>225</v>
      </c>
      <c r="X57" t="s">
        <v>225</v>
      </c>
      <c r="Y57">
        <v>1</v>
      </c>
      <c r="Z57" t="s">
        <v>225</v>
      </c>
      <c r="AA57">
        <v>1</v>
      </c>
      <c r="AB57" t="s">
        <v>225</v>
      </c>
      <c r="AC57" t="s">
        <v>225</v>
      </c>
      <c r="AD57" t="s">
        <v>205</v>
      </c>
      <c r="AE57" t="s">
        <v>225</v>
      </c>
      <c r="AF57" t="s">
        <v>225</v>
      </c>
      <c r="AG57" t="s">
        <v>225</v>
      </c>
      <c r="AH57" t="s">
        <v>225</v>
      </c>
      <c r="AI57" t="s">
        <v>225</v>
      </c>
      <c r="AJ57" t="s">
        <v>225</v>
      </c>
      <c r="AK57" t="s">
        <v>225</v>
      </c>
      <c r="AL57" t="s">
        <v>225</v>
      </c>
      <c r="AM57" t="s">
        <v>225</v>
      </c>
      <c r="AN57" t="s">
        <v>225</v>
      </c>
      <c r="AO57" t="s">
        <v>225</v>
      </c>
      <c r="AP57" t="s">
        <v>225</v>
      </c>
      <c r="AQ57" t="s">
        <v>225</v>
      </c>
      <c r="AR57" t="s">
        <v>225</v>
      </c>
      <c r="AS57" t="s">
        <v>225</v>
      </c>
      <c r="AT57" t="s">
        <v>225</v>
      </c>
      <c r="AU57" t="s">
        <v>225</v>
      </c>
      <c r="AV57" t="s">
        <v>225</v>
      </c>
      <c r="AW57" t="s">
        <v>225</v>
      </c>
      <c r="AX57" t="s">
        <v>225</v>
      </c>
      <c r="AY57" t="s">
        <v>225</v>
      </c>
      <c r="AZ57" t="s">
        <v>225</v>
      </c>
      <c r="BA57" t="s">
        <v>225</v>
      </c>
      <c r="BB57" t="s">
        <v>225</v>
      </c>
      <c r="BC57" t="s">
        <v>225</v>
      </c>
      <c r="BD57" t="s">
        <v>225</v>
      </c>
      <c r="BE57" t="s">
        <v>225</v>
      </c>
      <c r="BF57" t="s">
        <v>225</v>
      </c>
      <c r="BG57" t="s">
        <v>225</v>
      </c>
      <c r="BH57" t="s">
        <v>225</v>
      </c>
      <c r="BI57" t="s">
        <v>225</v>
      </c>
      <c r="BJ57" t="s">
        <v>225</v>
      </c>
      <c r="BK57" t="s">
        <v>225</v>
      </c>
      <c r="BL57" t="s">
        <v>225</v>
      </c>
      <c r="BN57" t="s">
        <v>2950</v>
      </c>
      <c r="BQ57" t="s">
        <v>539</v>
      </c>
      <c r="BR57" s="5">
        <v>0</v>
      </c>
      <c r="BS57" s="5">
        <v>0</v>
      </c>
      <c r="BT57" s="5">
        <v>0</v>
      </c>
      <c r="BU57" s="5">
        <f>(BS57/8+BT57/4)*39</f>
        <v>0</v>
      </c>
      <c r="BV57" s="5">
        <v>0</v>
      </c>
      <c r="BW57" s="5">
        <v>0</v>
      </c>
      <c r="BX57" s="5">
        <v>1</v>
      </c>
      <c r="BY57" s="5">
        <v>0</v>
      </c>
      <c r="BZ57" s="5">
        <v>0</v>
      </c>
      <c r="CA57" s="5">
        <v>0</v>
      </c>
      <c r="CB57" s="5">
        <v>0</v>
      </c>
      <c r="CC57" s="5">
        <f>(BV57+BW57/2+BX57/8+BY57/16+BZ57/4+CA57/32)*39</f>
        <v>4.875</v>
      </c>
      <c r="CD57" s="5">
        <v>0</v>
      </c>
      <c r="CE57" s="5">
        <v>0</v>
      </c>
      <c r="CF57" s="5">
        <v>0</v>
      </c>
      <c r="CG57" s="5">
        <v>0</v>
      </c>
      <c r="CH57" s="5">
        <v>0</v>
      </c>
      <c r="CI57" s="5">
        <v>0</v>
      </c>
      <c r="CJ57" s="5">
        <f>1+1/5</f>
        <v>1.2</v>
      </c>
      <c r="CK57" s="5">
        <v>0</v>
      </c>
      <c r="CL57" s="5">
        <f>(CD57+CE57/2+CF57/8+CG57/16+CH57/4+CJ57/32+CK57/16)*39</f>
        <v>1.4624999999999999</v>
      </c>
      <c r="CM57" s="5">
        <v>0</v>
      </c>
      <c r="CN57" s="5">
        <v>0</v>
      </c>
      <c r="CO57" s="5">
        <v>0</v>
      </c>
      <c r="CP57" s="5">
        <v>0</v>
      </c>
      <c r="CQ57" s="5">
        <v>0</v>
      </c>
      <c r="CS57">
        <f>13/12</f>
        <v>1.0833333333333333</v>
      </c>
      <c r="CT57">
        <v>1</v>
      </c>
      <c r="CU57">
        <v>0</v>
      </c>
      <c r="CV57">
        <v>0</v>
      </c>
      <c r="CW57">
        <f>CS57+CT57/24+CU57/48+CV57/48</f>
        <v>1.125</v>
      </c>
      <c r="CX57">
        <v>0</v>
      </c>
      <c r="CZ57" t="s">
        <v>210</v>
      </c>
      <c r="DA57" t="s">
        <v>1733</v>
      </c>
      <c r="DB57" t="s">
        <v>2951</v>
      </c>
      <c r="DC57" t="s">
        <v>262</v>
      </c>
      <c r="DD57" t="s">
        <v>693</v>
      </c>
      <c r="DE57" t="s">
        <v>542</v>
      </c>
      <c r="DF57" t="s">
        <v>372</v>
      </c>
    </row>
    <row r="58" spans="1:114" x14ac:dyDescent="0.25">
      <c r="A58">
        <v>1492</v>
      </c>
      <c r="C58" t="s">
        <v>13</v>
      </c>
      <c r="D58" t="s">
        <v>12</v>
      </c>
      <c r="E58" t="s">
        <v>2543</v>
      </c>
      <c r="I58" t="s">
        <v>219</v>
      </c>
      <c r="J58" s="16">
        <v>1342</v>
      </c>
      <c r="K58" s="16" t="s">
        <v>817</v>
      </c>
      <c r="L58" t="s">
        <v>15</v>
      </c>
      <c r="M58" s="7" t="s">
        <v>338</v>
      </c>
      <c r="V58" t="s">
        <v>1463</v>
      </c>
      <c r="W58" t="s">
        <v>225</v>
      </c>
      <c r="X58" t="s">
        <v>225</v>
      </c>
      <c r="Y58" t="s">
        <v>225</v>
      </c>
      <c r="Z58" t="s">
        <v>225</v>
      </c>
      <c r="AA58" t="s">
        <v>225</v>
      </c>
      <c r="AB58" t="s">
        <v>225</v>
      </c>
      <c r="AC58" t="s">
        <v>225</v>
      </c>
      <c r="AD58" t="s">
        <v>205</v>
      </c>
      <c r="AE58" t="s">
        <v>225</v>
      </c>
      <c r="AF58" t="s">
        <v>225</v>
      </c>
      <c r="AG58" t="s">
        <v>225</v>
      </c>
      <c r="AH58" t="s">
        <v>225</v>
      </c>
      <c r="AI58" t="s">
        <v>225</v>
      </c>
      <c r="AJ58" t="s">
        <v>225</v>
      </c>
      <c r="AK58" t="s">
        <v>225</v>
      </c>
      <c r="AL58" t="s">
        <v>225</v>
      </c>
      <c r="AM58" t="s">
        <v>225</v>
      </c>
      <c r="AN58" t="s">
        <v>225</v>
      </c>
      <c r="AO58" t="s">
        <v>225</v>
      </c>
      <c r="AP58" t="s">
        <v>225</v>
      </c>
      <c r="AQ58" t="s">
        <v>225</v>
      </c>
      <c r="AR58" t="s">
        <v>225</v>
      </c>
      <c r="AS58" t="s">
        <v>225</v>
      </c>
      <c r="AT58" t="s">
        <v>225</v>
      </c>
      <c r="AU58" t="s">
        <v>225</v>
      </c>
      <c r="AV58" t="s">
        <v>225</v>
      </c>
      <c r="AW58" t="s">
        <v>225</v>
      </c>
      <c r="AX58" t="s">
        <v>225</v>
      </c>
      <c r="AY58" t="s">
        <v>225</v>
      </c>
      <c r="AZ58" t="s">
        <v>225</v>
      </c>
      <c r="BA58" t="s">
        <v>225</v>
      </c>
      <c r="BB58" t="s">
        <v>225</v>
      </c>
      <c r="BC58" t="s">
        <v>225</v>
      </c>
      <c r="BD58">
        <v>1</v>
      </c>
      <c r="BE58" t="s">
        <v>225</v>
      </c>
      <c r="BF58" t="s">
        <v>225</v>
      </c>
      <c r="BG58" t="s">
        <v>225</v>
      </c>
      <c r="BH58" t="s">
        <v>225</v>
      </c>
      <c r="BI58" t="s">
        <v>225</v>
      </c>
      <c r="BJ58" t="s">
        <v>225</v>
      </c>
      <c r="BK58" t="s">
        <v>225</v>
      </c>
      <c r="BL58" t="s">
        <v>225</v>
      </c>
      <c r="BN58" t="s">
        <v>2510</v>
      </c>
      <c r="BR58" s="5">
        <v>0</v>
      </c>
      <c r="BS58" s="5">
        <v>0</v>
      </c>
      <c r="BT58" s="5">
        <v>0</v>
      </c>
      <c r="BU58" s="5">
        <f>(BS58/8+BT58/4)*39</f>
        <v>0</v>
      </c>
      <c r="BV58" s="5">
        <v>0</v>
      </c>
      <c r="BW58" s="5">
        <v>0</v>
      </c>
      <c r="BX58" s="5">
        <v>0</v>
      </c>
      <c r="BY58" s="5">
        <v>0</v>
      </c>
      <c r="BZ58" s="5">
        <v>0</v>
      </c>
      <c r="CA58" s="5">
        <v>0</v>
      </c>
      <c r="CB58" s="5">
        <v>0</v>
      </c>
      <c r="CC58" s="5">
        <f>(BV58+BW58/2+BX58/8+BY58/16+BZ58/4+CA58/32)*39</f>
        <v>0</v>
      </c>
      <c r="CD58" s="5">
        <v>0</v>
      </c>
      <c r="CE58" s="5">
        <v>0</v>
      </c>
      <c r="CF58" s="5">
        <v>0</v>
      </c>
      <c r="CG58" s="5">
        <v>0</v>
      </c>
      <c r="CH58" s="5">
        <v>0</v>
      </c>
      <c r="CI58" s="5">
        <v>0</v>
      </c>
      <c r="CJ58" s="5">
        <v>0</v>
      </c>
      <c r="CK58" s="5">
        <v>0</v>
      </c>
      <c r="CL58" s="5">
        <f>(CD58+CE58/2+CF58/8+CG58/16+CH58/4+CJ58/32+CK58/16)*39</f>
        <v>0</v>
      </c>
      <c r="CM58" s="5">
        <v>0</v>
      </c>
      <c r="CN58" s="5">
        <v>0</v>
      </c>
      <c r="CO58" s="5">
        <v>0</v>
      </c>
      <c r="CP58" s="5">
        <v>0</v>
      </c>
      <c r="CQ58" s="5">
        <v>0</v>
      </c>
      <c r="CR58" t="s">
        <v>2512</v>
      </c>
      <c r="CS58">
        <f>3/12+6/12</f>
        <v>0.75</v>
      </c>
      <c r="CT58">
        <v>0</v>
      </c>
      <c r="CU58">
        <v>0</v>
      </c>
      <c r="CV58">
        <v>0</v>
      </c>
      <c r="CW58">
        <f>CS58+CT58/24+CU58/48+CV58/48</f>
        <v>0.75</v>
      </c>
      <c r="CX58">
        <v>0</v>
      </c>
      <c r="CZ58" t="s">
        <v>210</v>
      </c>
      <c r="DC58" s="26" t="s">
        <v>1569</v>
      </c>
      <c r="DD58" t="s">
        <v>693</v>
      </c>
      <c r="DE58" t="s">
        <v>752</v>
      </c>
      <c r="DF58" t="s">
        <v>1230</v>
      </c>
      <c r="DG58" t="s">
        <v>2541</v>
      </c>
    </row>
    <row r="59" spans="1:114" x14ac:dyDescent="0.25">
      <c r="A59">
        <v>1271</v>
      </c>
      <c r="C59" t="s">
        <v>50</v>
      </c>
      <c r="D59" t="s">
        <v>175</v>
      </c>
      <c r="E59" t="s">
        <v>170</v>
      </c>
      <c r="I59" t="s">
        <v>219</v>
      </c>
      <c r="J59">
        <v>1343</v>
      </c>
      <c r="K59" t="s">
        <v>1097</v>
      </c>
      <c r="L59">
        <v>10</v>
      </c>
      <c r="M59" s="8" t="s">
        <v>338</v>
      </c>
      <c r="N59" s="8" t="s">
        <v>1612</v>
      </c>
      <c r="W59" s="5">
        <v>2</v>
      </c>
      <c r="X59">
        <v>2</v>
      </c>
      <c r="Y59" s="5">
        <v>1</v>
      </c>
      <c r="Z59" s="5" t="s">
        <v>225</v>
      </c>
      <c r="AA59" s="5" t="s">
        <v>225</v>
      </c>
      <c r="AB59" s="5" t="s">
        <v>225</v>
      </c>
      <c r="AC59" s="5" t="s">
        <v>225</v>
      </c>
      <c r="AD59" s="5" t="s">
        <v>225</v>
      </c>
      <c r="AE59" s="5" t="s">
        <v>225</v>
      </c>
      <c r="AF59" s="5" t="s">
        <v>225</v>
      </c>
      <c r="AG59" s="5" t="s">
        <v>225</v>
      </c>
      <c r="AH59" s="5" t="s">
        <v>225</v>
      </c>
      <c r="AI59" s="5" t="s">
        <v>225</v>
      </c>
      <c r="AJ59" s="5" t="s">
        <v>225</v>
      </c>
      <c r="AK59" s="5" t="s">
        <v>225</v>
      </c>
      <c r="AL59" s="5" t="s">
        <v>225</v>
      </c>
      <c r="AM59" s="5" t="s">
        <v>225</v>
      </c>
      <c r="AN59" s="5" t="s">
        <v>225</v>
      </c>
      <c r="AO59" s="5" t="s">
        <v>225</v>
      </c>
      <c r="AP59">
        <v>3</v>
      </c>
      <c r="AQ59" s="5" t="s">
        <v>225</v>
      </c>
      <c r="AR59" s="5" t="s">
        <v>225</v>
      </c>
      <c r="AS59" s="5" t="s">
        <v>225</v>
      </c>
      <c r="AT59" s="5" t="s">
        <v>225</v>
      </c>
      <c r="AU59" s="5" t="s">
        <v>225</v>
      </c>
      <c r="AV59" s="5" t="s">
        <v>225</v>
      </c>
      <c r="AW59" s="5" t="s">
        <v>225</v>
      </c>
      <c r="AX59" s="5">
        <v>2</v>
      </c>
      <c r="AY59" t="s">
        <v>225</v>
      </c>
      <c r="AZ59" t="s">
        <v>225</v>
      </c>
      <c r="BA59" t="s">
        <v>225</v>
      </c>
      <c r="BB59" t="s">
        <v>225</v>
      </c>
      <c r="BC59" t="s">
        <v>225</v>
      </c>
      <c r="BD59" t="s">
        <v>225</v>
      </c>
      <c r="BE59" t="s">
        <v>225</v>
      </c>
      <c r="BF59" t="s">
        <v>225</v>
      </c>
      <c r="BG59" t="s">
        <v>225</v>
      </c>
      <c r="BH59" t="s">
        <v>225</v>
      </c>
      <c r="BI59" t="s">
        <v>225</v>
      </c>
      <c r="BJ59" t="s">
        <v>225</v>
      </c>
      <c r="BK59" t="s">
        <v>225</v>
      </c>
      <c r="BL59" s="5" t="s">
        <v>225</v>
      </c>
      <c r="BN59" t="s">
        <v>1641</v>
      </c>
      <c r="BQ59" t="s">
        <v>3566</v>
      </c>
      <c r="BR59" s="5">
        <f>1/2</f>
        <v>0.5</v>
      </c>
      <c r="BS59" s="5">
        <v>0</v>
      </c>
      <c r="BT59" s="5">
        <v>0</v>
      </c>
      <c r="BU59" s="5">
        <f>(BS59/8+BT59/4)*39</f>
        <v>0</v>
      </c>
      <c r="BV59" s="5">
        <v>0</v>
      </c>
      <c r="BW59" s="5">
        <v>0</v>
      </c>
      <c r="BX59" s="5">
        <v>0</v>
      </c>
      <c r="BY59" s="5">
        <v>0</v>
      </c>
      <c r="BZ59" s="5">
        <v>0</v>
      </c>
      <c r="CA59" s="5">
        <v>0</v>
      </c>
      <c r="CB59" s="5">
        <v>0</v>
      </c>
      <c r="CC59" s="5">
        <f>(BV59+BX59/8+BY59/32+CA59/32+CB59/4)*39</f>
        <v>0</v>
      </c>
      <c r="CD59" s="5">
        <v>0</v>
      </c>
      <c r="CE59" s="5">
        <v>0</v>
      </c>
      <c r="CF59" s="5">
        <v>1</v>
      </c>
      <c r="CG59" s="5">
        <v>0</v>
      </c>
      <c r="CH59" s="5">
        <v>0</v>
      </c>
      <c r="CI59" s="5">
        <v>0</v>
      </c>
      <c r="CJ59" s="5">
        <v>0</v>
      </c>
      <c r="CK59" s="5">
        <v>0</v>
      </c>
      <c r="CL59" s="5">
        <f>(CD59+CF59/8+CG59/32+CI59/4+CJ59/32)*39</f>
        <v>4.875</v>
      </c>
      <c r="CM59" s="5">
        <v>1</v>
      </c>
      <c r="CN59" s="5">
        <v>0</v>
      </c>
      <c r="CO59" s="5">
        <v>0</v>
      </c>
      <c r="CP59" s="5">
        <v>0</v>
      </c>
      <c r="CQ59" s="5">
        <v>0</v>
      </c>
      <c r="CS59">
        <f>1/12</f>
        <v>8.3333333333333329E-2</v>
      </c>
      <c r="CT59">
        <v>0</v>
      </c>
      <c r="CU59">
        <v>0</v>
      </c>
      <c r="CV59">
        <v>0</v>
      </c>
      <c r="CW59">
        <f>CS59+CT59/24+CU59/48+CV59/48</f>
        <v>8.3333333333333329E-2</v>
      </c>
      <c r="CX59">
        <v>0</v>
      </c>
      <c r="CZ59" t="s">
        <v>210</v>
      </c>
      <c r="DA59" t="s">
        <v>1644</v>
      </c>
      <c r="DB59" t="s">
        <v>563</v>
      </c>
      <c r="DC59" t="s">
        <v>1645</v>
      </c>
      <c r="DD59" t="s">
        <v>693</v>
      </c>
      <c r="DE59" t="s">
        <v>263</v>
      </c>
      <c r="DF59" t="s">
        <v>1571</v>
      </c>
      <c r="DG59" t="s">
        <v>1666</v>
      </c>
    </row>
    <row r="60" spans="1:114" x14ac:dyDescent="0.25">
      <c r="A60">
        <v>1272</v>
      </c>
      <c r="C60" t="s">
        <v>1646</v>
      </c>
      <c r="D60" t="s">
        <v>175</v>
      </c>
      <c r="E60" t="s">
        <v>170</v>
      </c>
      <c r="G60" t="s">
        <v>1649</v>
      </c>
      <c r="H60" t="s">
        <v>1647</v>
      </c>
      <c r="I60" t="s">
        <v>3219</v>
      </c>
      <c r="J60">
        <v>1343</v>
      </c>
      <c r="K60" t="s">
        <v>1097</v>
      </c>
      <c r="L60">
        <v>10</v>
      </c>
      <c r="M60" s="7" t="s">
        <v>338</v>
      </c>
      <c r="N60" s="8" t="s">
        <v>1612</v>
      </c>
      <c r="W60" s="5" t="s">
        <v>205</v>
      </c>
      <c r="X60" t="s">
        <v>205</v>
      </c>
      <c r="Y60" t="s">
        <v>205</v>
      </c>
      <c r="Z60" s="5" t="s">
        <v>205</v>
      </c>
      <c r="AA60" s="5" t="s">
        <v>225</v>
      </c>
      <c r="AB60" s="5" t="s">
        <v>225</v>
      </c>
      <c r="AC60" s="5" t="s">
        <v>225</v>
      </c>
      <c r="AD60" s="5" t="s">
        <v>225</v>
      </c>
      <c r="AE60" s="5" t="s">
        <v>225</v>
      </c>
      <c r="AF60" s="5" t="s">
        <v>225</v>
      </c>
      <c r="AG60" s="5" t="s">
        <v>225</v>
      </c>
      <c r="AH60" s="5" t="s">
        <v>225</v>
      </c>
      <c r="AI60" s="5" t="s">
        <v>225</v>
      </c>
      <c r="AJ60" s="5" t="s">
        <v>225</v>
      </c>
      <c r="AK60" s="5" t="s">
        <v>225</v>
      </c>
      <c r="AL60" s="5" t="s">
        <v>225</v>
      </c>
      <c r="AM60" s="5" t="s">
        <v>225</v>
      </c>
      <c r="AN60" s="5" t="s">
        <v>225</v>
      </c>
      <c r="AO60" s="5" t="s">
        <v>225</v>
      </c>
      <c r="AP60">
        <v>1</v>
      </c>
      <c r="AQ60" s="5" t="s">
        <v>225</v>
      </c>
      <c r="AR60" s="5" t="s">
        <v>225</v>
      </c>
      <c r="AS60" s="5" t="s">
        <v>225</v>
      </c>
      <c r="AT60" s="5" t="s">
        <v>225</v>
      </c>
      <c r="AU60" s="5" t="s">
        <v>225</v>
      </c>
      <c r="AV60" s="5" t="s">
        <v>225</v>
      </c>
      <c r="AW60" s="5" t="s">
        <v>225</v>
      </c>
      <c r="AX60" s="5" t="s">
        <v>205</v>
      </c>
      <c r="AY60" t="s">
        <v>225</v>
      </c>
      <c r="AZ60" t="s">
        <v>225</v>
      </c>
      <c r="BA60" t="s">
        <v>225</v>
      </c>
      <c r="BB60" t="s">
        <v>225</v>
      </c>
      <c r="BC60" t="s">
        <v>225</v>
      </c>
      <c r="BD60" t="s">
        <v>225</v>
      </c>
      <c r="BE60" t="s">
        <v>225</v>
      </c>
      <c r="BF60" t="s">
        <v>225</v>
      </c>
      <c r="BG60" t="s">
        <v>225</v>
      </c>
      <c r="BH60" t="s">
        <v>225</v>
      </c>
      <c r="BI60" t="s">
        <v>225</v>
      </c>
      <c r="BJ60" t="s">
        <v>225</v>
      </c>
      <c r="BK60" t="s">
        <v>225</v>
      </c>
      <c r="BL60" s="5" t="s">
        <v>205</v>
      </c>
      <c r="BN60" t="s">
        <v>1659</v>
      </c>
      <c r="BO60" t="s">
        <v>1650</v>
      </c>
      <c r="BP60" t="s">
        <v>697</v>
      </c>
      <c r="BQ60" t="s">
        <v>3566</v>
      </c>
      <c r="BR60" s="5">
        <f>1/2</f>
        <v>0.5</v>
      </c>
      <c r="BS60" s="5">
        <v>0</v>
      </c>
      <c r="BT60" s="5">
        <v>0</v>
      </c>
      <c r="BU60" s="5">
        <f>(BS60/8+BT60/4)*39</f>
        <v>0</v>
      </c>
      <c r="BV60" s="5">
        <v>0</v>
      </c>
      <c r="BW60" s="5">
        <v>0</v>
      </c>
      <c r="BX60" s="5">
        <v>0</v>
      </c>
      <c r="BY60" s="5">
        <v>0</v>
      </c>
      <c r="BZ60" s="5">
        <v>0</v>
      </c>
      <c r="CA60" s="5">
        <v>0</v>
      </c>
      <c r="CB60" s="5">
        <v>0</v>
      </c>
      <c r="CC60" s="5">
        <f>(BV60+BX60/8+BY60/32+CA60/32+CB60/4)*39</f>
        <v>0</v>
      </c>
      <c r="CD60" s="5">
        <v>0</v>
      </c>
      <c r="CE60" s="5">
        <v>0</v>
      </c>
      <c r="CF60" s="5">
        <v>0</v>
      </c>
      <c r="CG60" s="5">
        <v>0</v>
      </c>
      <c r="CH60" s="5">
        <v>0</v>
      </c>
      <c r="CI60" s="5">
        <v>1</v>
      </c>
      <c r="CJ60" s="5">
        <v>0</v>
      </c>
      <c r="CK60" s="5">
        <v>0</v>
      </c>
      <c r="CL60" s="5">
        <f>(CD60+CF60/8+CG60/32+CI60/4+CJ60/32)*39</f>
        <v>9.75</v>
      </c>
      <c r="CM60" s="5">
        <v>0</v>
      </c>
      <c r="CN60" s="5">
        <v>0</v>
      </c>
      <c r="CO60" s="5">
        <v>0</v>
      </c>
      <c r="CP60" s="5">
        <v>0</v>
      </c>
      <c r="CQ60" s="5">
        <v>0</v>
      </c>
      <c r="CS60">
        <f>1/12</f>
        <v>8.3333333333333329E-2</v>
      </c>
      <c r="CT60">
        <v>0</v>
      </c>
      <c r="CU60">
        <v>0</v>
      </c>
      <c r="CV60">
        <v>0</v>
      </c>
      <c r="CW60">
        <f>CS60+CT60/24+CU60/48+CV60/48</f>
        <v>8.3333333333333329E-2</v>
      </c>
      <c r="CX60">
        <v>0</v>
      </c>
      <c r="CZ60" t="s">
        <v>210</v>
      </c>
      <c r="DA60" t="s">
        <v>1644</v>
      </c>
      <c r="DB60" t="s">
        <v>405</v>
      </c>
      <c r="DC60" t="s">
        <v>1645</v>
      </c>
      <c r="DD60" t="s">
        <v>693</v>
      </c>
      <c r="DE60" t="s">
        <v>263</v>
      </c>
      <c r="DF60" t="s">
        <v>1571</v>
      </c>
      <c r="DG60" t="s">
        <v>1666</v>
      </c>
    </row>
    <row r="61" spans="1:114" x14ac:dyDescent="0.25">
      <c r="A61">
        <v>1281</v>
      </c>
      <c r="C61" t="s">
        <v>1572</v>
      </c>
      <c r="D61" t="s">
        <v>175</v>
      </c>
      <c r="E61" t="s">
        <v>170</v>
      </c>
      <c r="I61" t="s">
        <v>219</v>
      </c>
      <c r="J61">
        <v>1343</v>
      </c>
      <c r="K61" t="s">
        <v>1097</v>
      </c>
      <c r="L61">
        <v>10</v>
      </c>
      <c r="M61" s="7" t="s">
        <v>338</v>
      </c>
      <c r="N61" s="8" t="s">
        <v>1612</v>
      </c>
      <c r="V61" t="s">
        <v>1463</v>
      </c>
      <c r="W61" s="5" t="s">
        <v>205</v>
      </c>
      <c r="X61" t="s">
        <v>205</v>
      </c>
      <c r="Y61" t="s">
        <v>205</v>
      </c>
      <c r="Z61" s="5" t="s">
        <v>205</v>
      </c>
      <c r="AA61" s="5" t="s">
        <v>225</v>
      </c>
      <c r="AB61" s="5" t="s">
        <v>225</v>
      </c>
      <c r="AC61" s="5" t="s">
        <v>205</v>
      </c>
      <c r="AD61" s="5" t="s">
        <v>225</v>
      </c>
      <c r="AE61" s="5" t="s">
        <v>205</v>
      </c>
      <c r="AF61" s="5" t="s">
        <v>205</v>
      </c>
      <c r="AG61" s="5" t="s">
        <v>225</v>
      </c>
      <c r="AH61" s="5" t="s">
        <v>225</v>
      </c>
      <c r="AI61" s="5" t="s">
        <v>225</v>
      </c>
      <c r="AJ61" s="5" t="s">
        <v>225</v>
      </c>
      <c r="AK61" s="5" t="s">
        <v>225</v>
      </c>
      <c r="AL61" s="5" t="s">
        <v>225</v>
      </c>
      <c r="AM61" s="5" t="s">
        <v>225</v>
      </c>
      <c r="AN61" s="5" t="s">
        <v>225</v>
      </c>
      <c r="AO61" s="5" t="s">
        <v>225</v>
      </c>
      <c r="AP61" s="5">
        <v>1</v>
      </c>
      <c r="AQ61" s="5" t="s">
        <v>225</v>
      </c>
      <c r="AR61" s="5" t="s">
        <v>225</v>
      </c>
      <c r="AS61" s="5" t="s">
        <v>225</v>
      </c>
      <c r="AT61" s="5" t="s">
        <v>225</v>
      </c>
      <c r="AU61" s="5" t="s">
        <v>225</v>
      </c>
      <c r="AV61" s="5" t="s">
        <v>225</v>
      </c>
      <c r="AW61" s="5" t="s">
        <v>225</v>
      </c>
      <c r="AX61" s="5" t="s">
        <v>205</v>
      </c>
      <c r="AY61" t="s">
        <v>225</v>
      </c>
      <c r="AZ61" t="s">
        <v>225</v>
      </c>
      <c r="BA61" t="s">
        <v>225</v>
      </c>
      <c r="BB61" t="s">
        <v>225</v>
      </c>
      <c r="BC61" t="s">
        <v>225</v>
      </c>
      <c r="BD61" t="s">
        <v>225</v>
      </c>
      <c r="BE61" t="s">
        <v>225</v>
      </c>
      <c r="BF61" t="s">
        <v>225</v>
      </c>
      <c r="BG61" t="s">
        <v>225</v>
      </c>
      <c r="BH61" t="s">
        <v>225</v>
      </c>
      <c r="BI61" t="s">
        <v>225</v>
      </c>
      <c r="BJ61" t="s">
        <v>225</v>
      </c>
      <c r="BK61" t="s">
        <v>225</v>
      </c>
      <c r="BL61" s="5" t="s">
        <v>225</v>
      </c>
      <c r="BN61" t="s">
        <v>1665</v>
      </c>
      <c r="BO61" t="s">
        <v>1661</v>
      </c>
      <c r="BR61" s="5">
        <v>0</v>
      </c>
      <c r="BS61" s="5">
        <v>0</v>
      </c>
      <c r="BT61" s="5">
        <v>0</v>
      </c>
      <c r="BU61" s="5">
        <f>(BS61/8+BT61/4)*39</f>
        <v>0</v>
      </c>
      <c r="BV61" s="5">
        <v>0</v>
      </c>
      <c r="BW61" s="5">
        <v>0</v>
      </c>
      <c r="BX61" s="5">
        <v>0</v>
      </c>
      <c r="BY61" s="5">
        <v>0</v>
      </c>
      <c r="BZ61" s="5">
        <v>0</v>
      </c>
      <c r="CA61" s="5">
        <v>0</v>
      </c>
      <c r="CB61" s="5">
        <v>0</v>
      </c>
      <c r="CC61" s="5">
        <f>(BV61+BW61/2+BX61/8+BY61/16+BZ61/4+CA61/32)*39</f>
        <v>0</v>
      </c>
      <c r="CD61" s="5">
        <v>0</v>
      </c>
      <c r="CE61" s="5">
        <v>0</v>
      </c>
      <c r="CF61" s="5">
        <v>0</v>
      </c>
      <c r="CG61" s="5">
        <v>0</v>
      </c>
      <c r="CH61" s="5">
        <v>0</v>
      </c>
      <c r="CI61" s="5">
        <v>0</v>
      </c>
      <c r="CJ61" s="5">
        <v>0</v>
      </c>
      <c r="CK61" s="5">
        <v>0</v>
      </c>
      <c r="CL61" s="5">
        <f>(CD61+CE61/2+CF61/8+CG61/16+CH61/4+CJ61/32+CK61/16)*39</f>
        <v>0</v>
      </c>
      <c r="CM61" s="5">
        <v>0</v>
      </c>
      <c r="CN61" s="5">
        <v>0</v>
      </c>
      <c r="CO61" s="5">
        <v>0</v>
      </c>
      <c r="CP61" s="5">
        <v>0</v>
      </c>
      <c r="CQ61" s="5">
        <v>0</v>
      </c>
      <c r="CS61">
        <v>0</v>
      </c>
      <c r="CT61">
        <v>3</v>
      </c>
      <c r="CU61">
        <v>0</v>
      </c>
      <c r="CV61">
        <v>0</v>
      </c>
      <c r="CW61">
        <f>CS61+CT61/24+CU61/48+CV61/48</f>
        <v>0.125</v>
      </c>
      <c r="CX61">
        <v>0</v>
      </c>
      <c r="CZ61" t="s">
        <v>210</v>
      </c>
      <c r="DC61" t="s">
        <v>1645</v>
      </c>
      <c r="DD61" t="s">
        <v>693</v>
      </c>
      <c r="DE61" t="s">
        <v>263</v>
      </c>
      <c r="DF61" t="s">
        <v>1571</v>
      </c>
      <c r="DG61" t="s">
        <v>1666</v>
      </c>
    </row>
    <row r="62" spans="1:114" x14ac:dyDescent="0.25">
      <c r="A62">
        <v>211</v>
      </c>
      <c r="C62" t="s">
        <v>1282</v>
      </c>
      <c r="D62" t="s">
        <v>150</v>
      </c>
      <c r="E62" t="s">
        <v>197</v>
      </c>
      <c r="H62" t="s">
        <v>1291</v>
      </c>
      <c r="I62" t="s">
        <v>219</v>
      </c>
      <c r="J62">
        <v>1342</v>
      </c>
      <c r="K62" t="s">
        <v>198</v>
      </c>
      <c r="L62">
        <v>18</v>
      </c>
      <c r="M62" s="7" t="s">
        <v>338</v>
      </c>
      <c r="N62" t="s">
        <v>236</v>
      </c>
      <c r="O62" t="s">
        <v>201</v>
      </c>
      <c r="P62" t="s">
        <v>225</v>
      </c>
      <c r="Q62" s="19" t="s">
        <v>205</v>
      </c>
      <c r="R62" t="s">
        <v>205</v>
      </c>
      <c r="S62" t="s">
        <v>205</v>
      </c>
      <c r="T62" t="s">
        <v>225</v>
      </c>
      <c r="W62">
        <v>2</v>
      </c>
      <c r="X62">
        <v>2</v>
      </c>
      <c r="Y62" t="s">
        <v>205</v>
      </c>
      <c r="Z62" t="s">
        <v>205</v>
      </c>
      <c r="AA62" t="s">
        <v>205</v>
      </c>
      <c r="AB62" t="s">
        <v>225</v>
      </c>
      <c r="AC62" t="s">
        <v>205</v>
      </c>
      <c r="AD62" t="s">
        <v>225</v>
      </c>
      <c r="AE62" t="s">
        <v>205</v>
      </c>
      <c r="AF62" t="s">
        <v>205</v>
      </c>
      <c r="AG62" t="s">
        <v>225</v>
      </c>
      <c r="AH62" t="s">
        <v>225</v>
      </c>
      <c r="AI62" t="s">
        <v>205</v>
      </c>
      <c r="AJ62" t="s">
        <v>225</v>
      </c>
      <c r="AK62" t="s">
        <v>225</v>
      </c>
      <c r="AL62" t="s">
        <v>225</v>
      </c>
      <c r="AM62" t="s">
        <v>225</v>
      </c>
      <c r="AN62" t="s">
        <v>225</v>
      </c>
      <c r="AO62" t="s">
        <v>225</v>
      </c>
      <c r="AP62" t="s">
        <v>225</v>
      </c>
      <c r="AQ62" t="s">
        <v>225</v>
      </c>
      <c r="AR62" t="s">
        <v>225</v>
      </c>
      <c r="AS62" t="s">
        <v>225</v>
      </c>
      <c r="AT62" t="s">
        <v>225</v>
      </c>
      <c r="AU62" t="s">
        <v>225</v>
      </c>
      <c r="AV62" t="s">
        <v>225</v>
      </c>
      <c r="AW62" t="s">
        <v>225</v>
      </c>
      <c r="AX62" t="s">
        <v>225</v>
      </c>
      <c r="AY62" t="s">
        <v>225</v>
      </c>
      <c r="AZ62" t="s">
        <v>225</v>
      </c>
      <c r="BA62" t="s">
        <v>225</v>
      </c>
      <c r="BB62" t="s">
        <v>225</v>
      </c>
      <c r="BC62" t="s">
        <v>225</v>
      </c>
      <c r="BD62" t="s">
        <v>225</v>
      </c>
      <c r="BE62" t="s">
        <v>225</v>
      </c>
      <c r="BF62" t="s">
        <v>225</v>
      </c>
      <c r="BG62" t="s">
        <v>225</v>
      </c>
      <c r="BH62" t="s">
        <v>225</v>
      </c>
      <c r="BI62" t="s">
        <v>225</v>
      </c>
      <c r="BJ62" t="s">
        <v>225</v>
      </c>
      <c r="BK62" t="s">
        <v>225</v>
      </c>
      <c r="BL62" t="s">
        <v>205</v>
      </c>
      <c r="BN62" t="s">
        <v>1299</v>
      </c>
      <c r="BO62" t="s">
        <v>1284</v>
      </c>
      <c r="BP62" t="s">
        <v>1292</v>
      </c>
      <c r="BQ62" t="s">
        <v>3563</v>
      </c>
      <c r="BR62">
        <f>2+1.5</f>
        <v>3.5</v>
      </c>
      <c r="BS62">
        <v>0</v>
      </c>
      <c r="BT62">
        <v>0</v>
      </c>
      <c r="BU62" s="5">
        <f>(BS62/8+BT62/4)*39</f>
        <v>0</v>
      </c>
      <c r="BV62">
        <v>0</v>
      </c>
      <c r="BW62">
        <v>0</v>
      </c>
      <c r="BX62">
        <f>7+1+1/2</f>
        <v>8.5</v>
      </c>
      <c r="BY62">
        <v>1</v>
      </c>
      <c r="BZ62">
        <v>0</v>
      </c>
      <c r="CA62">
        <v>0</v>
      </c>
      <c r="CB62">
        <v>0</v>
      </c>
      <c r="CC62" s="5">
        <f>(BV62+BW62/2+BX62/8+BY62/16+BZ62/4+CA62/32)*39</f>
        <v>43.875</v>
      </c>
      <c r="CD62">
        <v>0</v>
      </c>
      <c r="CE62">
        <v>0</v>
      </c>
      <c r="CF62">
        <f>10.5+3.5</f>
        <v>14</v>
      </c>
      <c r="CG62">
        <v>0</v>
      </c>
      <c r="CH62">
        <v>0</v>
      </c>
      <c r="CI62">
        <v>0</v>
      </c>
      <c r="CJ62">
        <v>0</v>
      </c>
      <c r="CK62">
        <v>0</v>
      </c>
      <c r="CL62" s="5">
        <f>(CD62+CE62/2+CF62/8+CG62/16+CH62/4+CJ62/32+CK62/16)*39</f>
        <v>68.25</v>
      </c>
      <c r="CM62">
        <v>0</v>
      </c>
      <c r="CN62">
        <v>0</v>
      </c>
      <c r="CO62">
        <v>0</v>
      </c>
      <c r="CP62">
        <v>0</v>
      </c>
      <c r="CQ62">
        <v>0</v>
      </c>
      <c r="CR62" t="s">
        <v>1300</v>
      </c>
      <c r="CS62">
        <f>11+10/12+2/12+7+7/12</f>
        <v>19.583333333333332</v>
      </c>
      <c r="CT62">
        <v>0</v>
      </c>
      <c r="CU62">
        <v>1.5</v>
      </c>
      <c r="CV62">
        <v>0</v>
      </c>
      <c r="CW62">
        <f>CS62+CT62/24+CU62/48+CV62/48</f>
        <v>19.614583333333332</v>
      </c>
      <c r="CX62">
        <v>0</v>
      </c>
      <c r="CY62" t="s">
        <v>248</v>
      </c>
      <c r="CZ62" t="s">
        <v>210</v>
      </c>
      <c r="DA62" t="s">
        <v>456</v>
      </c>
      <c r="DB62" t="s">
        <v>1301</v>
      </c>
      <c r="DC62" t="s">
        <v>1280</v>
      </c>
      <c r="DD62" t="s">
        <v>693</v>
      </c>
      <c r="DE62" t="s">
        <v>945</v>
      </c>
      <c r="DF62" t="s">
        <v>1254</v>
      </c>
      <c r="DG62" t="s">
        <v>1314</v>
      </c>
    </row>
    <row r="63" spans="1:114" x14ac:dyDescent="0.25">
      <c r="A63">
        <v>271</v>
      </c>
      <c r="C63" t="s">
        <v>250</v>
      </c>
      <c r="D63" t="s">
        <v>374</v>
      </c>
      <c r="E63" t="s">
        <v>251</v>
      </c>
      <c r="I63" t="s">
        <v>219</v>
      </c>
      <c r="J63">
        <v>1343</v>
      </c>
      <c r="K63" t="s">
        <v>249</v>
      </c>
      <c r="L63">
        <v>2</v>
      </c>
      <c r="M63" s="4" t="s">
        <v>199</v>
      </c>
      <c r="N63" t="s">
        <v>236</v>
      </c>
      <c r="O63" t="s">
        <v>268</v>
      </c>
      <c r="P63" t="s">
        <v>225</v>
      </c>
      <c r="Q63" t="s">
        <v>205</v>
      </c>
      <c r="R63" t="s">
        <v>205</v>
      </c>
      <c r="S63" t="s">
        <v>205</v>
      </c>
      <c r="T63" t="s">
        <v>225</v>
      </c>
      <c r="V63" t="s">
        <v>204</v>
      </c>
      <c r="W63">
        <v>1</v>
      </c>
      <c r="X63">
        <v>1</v>
      </c>
      <c r="Y63" t="s">
        <v>205</v>
      </c>
      <c r="Z63" t="s">
        <v>205</v>
      </c>
      <c r="AA63" t="s">
        <v>205</v>
      </c>
      <c r="AB63" t="s">
        <v>205</v>
      </c>
      <c r="AC63" t="s">
        <v>205</v>
      </c>
      <c r="AD63" t="s">
        <v>205</v>
      </c>
      <c r="AE63" t="s">
        <v>205</v>
      </c>
      <c r="AF63" t="s">
        <v>205</v>
      </c>
      <c r="AG63" t="s">
        <v>225</v>
      </c>
      <c r="AH63" t="s">
        <v>225</v>
      </c>
      <c r="AI63" t="s">
        <v>225</v>
      </c>
      <c r="AJ63" t="s">
        <v>225</v>
      </c>
      <c r="AK63" t="s">
        <v>225</v>
      </c>
      <c r="AL63" t="s">
        <v>225</v>
      </c>
      <c r="AM63" t="s">
        <v>225</v>
      </c>
      <c r="AN63" t="s">
        <v>225</v>
      </c>
      <c r="AO63" t="s">
        <v>225</v>
      </c>
      <c r="AP63" t="s">
        <v>225</v>
      </c>
      <c r="AQ63" t="s">
        <v>225</v>
      </c>
      <c r="AR63" t="s">
        <v>225</v>
      </c>
      <c r="AS63" t="s">
        <v>225</v>
      </c>
      <c r="AT63" t="s">
        <v>225</v>
      </c>
      <c r="AU63" t="s">
        <v>225</v>
      </c>
      <c r="AV63" t="s">
        <v>225</v>
      </c>
      <c r="AW63" t="s">
        <v>225</v>
      </c>
      <c r="AX63" t="s">
        <v>225</v>
      </c>
      <c r="AY63" t="s">
        <v>225</v>
      </c>
      <c r="AZ63" t="s">
        <v>225</v>
      </c>
      <c r="BA63" t="s">
        <v>225</v>
      </c>
      <c r="BB63" t="s">
        <v>225</v>
      </c>
      <c r="BC63" t="s">
        <v>225</v>
      </c>
      <c r="BD63" t="s">
        <v>225</v>
      </c>
      <c r="BE63" t="s">
        <v>225</v>
      </c>
      <c r="BF63" t="s">
        <v>225</v>
      </c>
      <c r="BG63" t="s">
        <v>225</v>
      </c>
      <c r="BH63" t="s">
        <v>225</v>
      </c>
      <c r="BI63" t="s">
        <v>225</v>
      </c>
      <c r="BJ63" t="s">
        <v>225</v>
      </c>
      <c r="BK63" t="s">
        <v>225</v>
      </c>
      <c r="BL63" t="s">
        <v>205</v>
      </c>
      <c r="BO63" t="s">
        <v>139</v>
      </c>
      <c r="BQ63" t="s">
        <v>3563</v>
      </c>
      <c r="BR63">
        <v>1.25</v>
      </c>
      <c r="BS63">
        <v>0</v>
      </c>
      <c r="BT63">
        <v>0</v>
      </c>
      <c r="BU63" s="5">
        <f>(BS63/8+BT63/4)*39</f>
        <v>0</v>
      </c>
      <c r="BV63">
        <v>4</v>
      </c>
      <c r="BW63" s="12">
        <v>0</v>
      </c>
      <c r="BX63" s="3">
        <v>0.5</v>
      </c>
      <c r="BY63">
        <v>0</v>
      </c>
      <c r="BZ63">
        <v>1</v>
      </c>
      <c r="CA63">
        <v>0</v>
      </c>
      <c r="CB63">
        <v>0</v>
      </c>
      <c r="CC63" s="5">
        <f>(BV63+BW63/2+BX63/8+BY63/16+BZ63/4+CA63/32)*39</f>
        <v>168.1875</v>
      </c>
      <c r="CD63">
        <v>2</v>
      </c>
      <c r="CE63">
        <v>0</v>
      </c>
      <c r="CF63">
        <v>0</v>
      </c>
      <c r="CG63">
        <v>1</v>
      </c>
      <c r="CH63">
        <v>1</v>
      </c>
      <c r="CI63">
        <v>0</v>
      </c>
      <c r="CJ63">
        <v>0</v>
      </c>
      <c r="CK63">
        <v>0</v>
      </c>
      <c r="CL63" s="5">
        <f>(CD63+CE63/2+CF63/8+CG63/16+CH63/4+CJ63/32+CK63/16)*39</f>
        <v>90.1875</v>
      </c>
      <c r="CM63">
        <v>0</v>
      </c>
      <c r="CN63">
        <v>0</v>
      </c>
      <c r="CO63">
        <v>0</v>
      </c>
      <c r="CP63">
        <v>0</v>
      </c>
      <c r="CQ63">
        <v>0</v>
      </c>
      <c r="CR63" t="s">
        <v>299</v>
      </c>
      <c r="CS63">
        <v>32</v>
      </c>
      <c r="CT63" s="12">
        <v>0</v>
      </c>
      <c r="CU63">
        <v>0</v>
      </c>
      <c r="CV63">
        <v>0</v>
      </c>
      <c r="CW63">
        <f>CS63+CT63/24+CU63/48+CV63/48</f>
        <v>32</v>
      </c>
      <c r="CX63">
        <v>0</v>
      </c>
      <c r="CY63" t="s">
        <v>248</v>
      </c>
      <c r="CZ63" t="s">
        <v>210</v>
      </c>
      <c r="DA63" t="s">
        <v>229</v>
      </c>
      <c r="DB63" t="s">
        <v>261</v>
      </c>
      <c r="DC63" t="s">
        <v>262</v>
      </c>
      <c r="DD63" t="s">
        <v>693</v>
      </c>
      <c r="DE63" t="s">
        <v>263</v>
      </c>
      <c r="DF63" t="s">
        <v>264</v>
      </c>
    </row>
    <row r="64" spans="1:114" x14ac:dyDescent="0.25">
      <c r="A64">
        <v>281</v>
      </c>
      <c r="C64" t="s">
        <v>276</v>
      </c>
      <c r="D64" t="s">
        <v>374</v>
      </c>
      <c r="E64" t="s">
        <v>251</v>
      </c>
      <c r="I64" t="s">
        <v>219</v>
      </c>
      <c r="J64">
        <v>1343</v>
      </c>
      <c r="K64" t="s">
        <v>249</v>
      </c>
      <c r="L64">
        <v>2</v>
      </c>
      <c r="M64" s="4" t="s">
        <v>199</v>
      </c>
      <c r="N64" t="s">
        <v>236</v>
      </c>
      <c r="O64" t="s">
        <v>201</v>
      </c>
      <c r="P64" t="s">
        <v>225</v>
      </c>
      <c r="Q64" t="s">
        <v>205</v>
      </c>
      <c r="R64" t="s">
        <v>205</v>
      </c>
      <c r="S64" t="s">
        <v>205</v>
      </c>
      <c r="T64" t="s">
        <v>225</v>
      </c>
      <c r="V64" t="s">
        <v>204</v>
      </c>
      <c r="W64" t="s">
        <v>205</v>
      </c>
      <c r="X64" t="s">
        <v>205</v>
      </c>
      <c r="Y64" t="s">
        <v>205</v>
      </c>
      <c r="Z64" t="s">
        <v>205</v>
      </c>
      <c r="AA64" t="s">
        <v>205</v>
      </c>
      <c r="AB64" t="s">
        <v>205</v>
      </c>
      <c r="AC64" t="s">
        <v>205</v>
      </c>
      <c r="AD64" t="s">
        <v>225</v>
      </c>
      <c r="AE64" t="s">
        <v>205</v>
      </c>
      <c r="AF64" t="s">
        <v>205</v>
      </c>
      <c r="AG64">
        <v>1</v>
      </c>
      <c r="AH64" t="s">
        <v>225</v>
      </c>
      <c r="AI64" t="s">
        <v>225</v>
      </c>
      <c r="AJ64" t="s">
        <v>225</v>
      </c>
      <c r="AK64" t="s">
        <v>225</v>
      </c>
      <c r="AL64" t="s">
        <v>225</v>
      </c>
      <c r="AM64" t="s">
        <v>225</v>
      </c>
      <c r="AN64" t="s">
        <v>225</v>
      </c>
      <c r="AO64" t="s">
        <v>225</v>
      </c>
      <c r="AP64" t="s">
        <v>205</v>
      </c>
      <c r="AQ64" t="s">
        <v>225</v>
      </c>
      <c r="AR64" t="s">
        <v>225</v>
      </c>
      <c r="AS64" t="s">
        <v>225</v>
      </c>
      <c r="AT64" t="s">
        <v>225</v>
      </c>
      <c r="AU64" t="s">
        <v>225</v>
      </c>
      <c r="AV64" t="s">
        <v>225</v>
      </c>
      <c r="AW64" t="s">
        <v>225</v>
      </c>
      <c r="AX64" t="s">
        <v>225</v>
      </c>
      <c r="AY64" t="s">
        <v>225</v>
      </c>
      <c r="AZ64" t="s">
        <v>225</v>
      </c>
      <c r="BA64" t="s">
        <v>225</v>
      </c>
      <c r="BB64" t="s">
        <v>225</v>
      </c>
      <c r="BC64" t="s">
        <v>225</v>
      </c>
      <c r="BD64" t="s">
        <v>225</v>
      </c>
      <c r="BE64" t="s">
        <v>225</v>
      </c>
      <c r="BF64" t="s">
        <v>225</v>
      </c>
      <c r="BG64" t="s">
        <v>225</v>
      </c>
      <c r="BH64" t="s">
        <v>225</v>
      </c>
      <c r="BI64" t="s">
        <v>225</v>
      </c>
      <c r="BJ64" t="s">
        <v>225</v>
      </c>
      <c r="BK64" t="s">
        <v>225</v>
      </c>
      <c r="BL64" t="s">
        <v>205</v>
      </c>
      <c r="BN64" t="s">
        <v>292</v>
      </c>
      <c r="BO64" t="s">
        <v>304</v>
      </c>
      <c r="BQ64" t="s">
        <v>3563</v>
      </c>
      <c r="BR64">
        <v>1.25</v>
      </c>
      <c r="BS64">
        <v>0</v>
      </c>
      <c r="BT64">
        <v>0</v>
      </c>
      <c r="BU64" s="5">
        <f>(BS64/8+BT64/4)*39</f>
        <v>0</v>
      </c>
      <c r="BV64">
        <v>4</v>
      </c>
      <c r="BW64">
        <v>0</v>
      </c>
      <c r="BX64">
        <f xml:space="preserve"> 5 + 1/2</f>
        <v>5.5</v>
      </c>
      <c r="BY64">
        <v>0</v>
      </c>
      <c r="BZ64">
        <v>0</v>
      </c>
      <c r="CA64">
        <v>0</v>
      </c>
      <c r="CB64">
        <v>0</v>
      </c>
      <c r="CC64" s="5">
        <f>(BV64+BW64/2+BX64/8+BY64/16+BZ64/4+CA64/32)*39</f>
        <v>182.8125</v>
      </c>
      <c r="CD64">
        <v>0</v>
      </c>
      <c r="CE64">
        <v>0</v>
      </c>
      <c r="CF64">
        <v>17</v>
      </c>
      <c r="CG64">
        <v>3</v>
      </c>
      <c r="CH64">
        <v>0</v>
      </c>
      <c r="CI64">
        <v>0</v>
      </c>
      <c r="CJ64">
        <v>0</v>
      </c>
      <c r="CK64">
        <v>0</v>
      </c>
      <c r="CL64" s="5">
        <f>(CD64+CE64/2+CF64/8+CG64/16+CH64/4+CJ64/32+CK64/16)*39</f>
        <v>90.1875</v>
      </c>
      <c r="CM64">
        <v>0</v>
      </c>
      <c r="CN64">
        <v>0</v>
      </c>
      <c r="CO64">
        <v>0</v>
      </c>
      <c r="CP64">
        <v>0</v>
      </c>
      <c r="CQ64">
        <v>0</v>
      </c>
      <c r="CR64" t="s">
        <v>301</v>
      </c>
      <c r="CS64">
        <f xml:space="preserve"> 24+2/3</f>
        <v>24.666666666666668</v>
      </c>
      <c r="CT64" s="12">
        <v>0</v>
      </c>
      <c r="CU64">
        <v>0</v>
      </c>
      <c r="CV64">
        <v>0</v>
      </c>
      <c r="CW64">
        <f>CS64+CT64/24+CU64/48+CV64/48</f>
        <v>24.666666666666668</v>
      </c>
      <c r="CX64">
        <v>0</v>
      </c>
      <c r="CY64" t="s">
        <v>248</v>
      </c>
      <c r="CZ64" t="s">
        <v>210</v>
      </c>
      <c r="DB64" t="s">
        <v>261</v>
      </c>
      <c r="DC64" t="s">
        <v>262</v>
      </c>
      <c r="DD64" t="s">
        <v>693</v>
      </c>
      <c r="DE64" t="s">
        <v>311</v>
      </c>
      <c r="DF64" t="s">
        <v>312</v>
      </c>
      <c r="DG64" t="s">
        <v>314</v>
      </c>
    </row>
    <row r="65" spans="1:114" x14ac:dyDescent="0.25">
      <c r="A65">
        <v>291</v>
      </c>
      <c r="C65" t="s">
        <v>302</v>
      </c>
      <c r="D65" t="s">
        <v>374</v>
      </c>
      <c r="E65" t="s">
        <v>251</v>
      </c>
      <c r="F65" s="4" t="s">
        <v>850</v>
      </c>
      <c r="H65" s="4"/>
      <c r="I65" t="s">
        <v>219</v>
      </c>
      <c r="J65" s="8">
        <v>1343</v>
      </c>
      <c r="K65" s="8" t="s">
        <v>249</v>
      </c>
      <c r="L65" s="8">
        <v>2</v>
      </c>
      <c r="M65" s="7" t="s">
        <v>199</v>
      </c>
      <c r="N65" t="s">
        <v>236</v>
      </c>
      <c r="O65" t="s">
        <v>268</v>
      </c>
      <c r="P65" t="s">
        <v>225</v>
      </c>
      <c r="Q65" s="8" t="s">
        <v>205</v>
      </c>
      <c r="R65" s="8" t="s">
        <v>205</v>
      </c>
      <c r="S65" s="8" t="s">
        <v>205</v>
      </c>
      <c r="T65" t="s">
        <v>225</v>
      </c>
      <c r="V65" t="s">
        <v>204</v>
      </c>
      <c r="W65" t="s">
        <v>205</v>
      </c>
      <c r="X65" t="s">
        <v>205</v>
      </c>
      <c r="Y65" t="s">
        <v>205</v>
      </c>
      <c r="Z65" t="s">
        <v>205</v>
      </c>
      <c r="AA65" t="s">
        <v>205</v>
      </c>
      <c r="AB65" t="s">
        <v>205</v>
      </c>
      <c r="AC65" t="s">
        <v>205</v>
      </c>
      <c r="AD65" t="s">
        <v>225</v>
      </c>
      <c r="AE65" t="s">
        <v>205</v>
      </c>
      <c r="AF65" t="s">
        <v>225</v>
      </c>
      <c r="AG65" t="s">
        <v>225</v>
      </c>
      <c r="AH65" t="s">
        <v>205</v>
      </c>
      <c r="AI65" t="s">
        <v>225</v>
      </c>
      <c r="AJ65" t="s">
        <v>225</v>
      </c>
      <c r="AK65" t="s">
        <v>225</v>
      </c>
      <c r="AL65" t="s">
        <v>225</v>
      </c>
      <c r="AM65" t="s">
        <v>225</v>
      </c>
      <c r="AN65" t="s">
        <v>225</v>
      </c>
      <c r="AO65" t="s">
        <v>225</v>
      </c>
      <c r="AP65" t="s">
        <v>225</v>
      </c>
      <c r="AQ65" t="s">
        <v>225</v>
      </c>
      <c r="AR65" t="s">
        <v>225</v>
      </c>
      <c r="AS65" t="s">
        <v>225</v>
      </c>
      <c r="AT65" t="s">
        <v>225</v>
      </c>
      <c r="AU65" t="s">
        <v>225</v>
      </c>
      <c r="AV65" t="s">
        <v>225</v>
      </c>
      <c r="AW65" t="s">
        <v>225</v>
      </c>
      <c r="AX65" t="s">
        <v>225</v>
      </c>
      <c r="AY65" t="s">
        <v>225</v>
      </c>
      <c r="AZ65" t="s">
        <v>225</v>
      </c>
      <c r="BA65" t="s">
        <v>225</v>
      </c>
      <c r="BB65" t="s">
        <v>225</v>
      </c>
      <c r="BC65" t="s">
        <v>225</v>
      </c>
      <c r="BD65" t="s">
        <v>225</v>
      </c>
      <c r="BE65" t="s">
        <v>225</v>
      </c>
      <c r="BF65" t="s">
        <v>225</v>
      </c>
      <c r="BG65" t="s">
        <v>225</v>
      </c>
      <c r="BH65" t="s">
        <v>225</v>
      </c>
      <c r="BI65" t="s">
        <v>225</v>
      </c>
      <c r="BJ65" t="s">
        <v>225</v>
      </c>
      <c r="BK65" t="s">
        <v>225</v>
      </c>
      <c r="BL65" t="s">
        <v>205</v>
      </c>
      <c r="BN65" t="s">
        <v>309</v>
      </c>
      <c r="BO65" t="s">
        <v>304</v>
      </c>
      <c r="BQ65" t="s">
        <v>3563</v>
      </c>
      <c r="BR65">
        <f>1+1/2</f>
        <v>1.5</v>
      </c>
      <c r="BS65">
        <v>0</v>
      </c>
      <c r="BT65">
        <v>0</v>
      </c>
      <c r="BU65" s="5">
        <f>(BS65/8+BT65/4)*39</f>
        <v>0</v>
      </c>
      <c r="BV65">
        <v>8</v>
      </c>
      <c r="BW65">
        <v>1</v>
      </c>
      <c r="BX65">
        <v>1</v>
      </c>
      <c r="BY65">
        <v>0</v>
      </c>
      <c r="BZ65">
        <v>0</v>
      </c>
      <c r="CA65">
        <v>0</v>
      </c>
      <c r="CB65">
        <v>0</v>
      </c>
      <c r="CC65" s="5">
        <f>(BV65+BW65/2+BX65/8+BY65/16+BZ65/4+CA65/32)*39</f>
        <v>336.375</v>
      </c>
      <c r="CD65">
        <v>4</v>
      </c>
      <c r="CE65">
        <v>0</v>
      </c>
      <c r="CF65">
        <v>3</v>
      </c>
      <c r="CG65">
        <v>0</v>
      </c>
      <c r="CH65">
        <v>0</v>
      </c>
      <c r="CI65">
        <v>0</v>
      </c>
      <c r="CJ65">
        <v>0</v>
      </c>
      <c r="CK65">
        <v>1</v>
      </c>
      <c r="CL65" s="5">
        <f>(CD65+CE65/2+CF65/8+CG65/16+CH65/4+CJ65/32+CK65/16)*39</f>
        <v>173.0625</v>
      </c>
      <c r="CM65">
        <v>0</v>
      </c>
      <c r="CN65">
        <v>0</v>
      </c>
      <c r="CO65">
        <v>0</v>
      </c>
      <c r="CP65">
        <v>0</v>
      </c>
      <c r="CQ65">
        <v>0</v>
      </c>
      <c r="CR65" s="17"/>
      <c r="CS65">
        <f>46+1/3</f>
        <v>46.333333333333336</v>
      </c>
      <c r="CT65" s="12">
        <v>0</v>
      </c>
      <c r="CU65">
        <v>0</v>
      </c>
      <c r="CV65">
        <v>0</v>
      </c>
      <c r="CW65">
        <f>CS65+CT65/24+CU65/48+CV65/48</f>
        <v>46.333333333333336</v>
      </c>
      <c r="CX65">
        <v>0</v>
      </c>
      <c r="CY65" t="s">
        <v>248</v>
      </c>
      <c r="CZ65" t="s">
        <v>210</v>
      </c>
      <c r="DA65" t="s">
        <v>229</v>
      </c>
      <c r="DB65" t="s">
        <v>310</v>
      </c>
      <c r="DC65" t="s">
        <v>262</v>
      </c>
      <c r="DD65" t="s">
        <v>693</v>
      </c>
      <c r="DE65" t="s">
        <v>311</v>
      </c>
      <c r="DF65" t="s">
        <v>312</v>
      </c>
      <c r="DG65" t="s">
        <v>314</v>
      </c>
    </row>
    <row r="66" spans="1:114" x14ac:dyDescent="0.25">
      <c r="A66">
        <v>1151</v>
      </c>
      <c r="C66" t="s">
        <v>465</v>
      </c>
      <c r="D66" t="s">
        <v>1528</v>
      </c>
      <c r="E66" t="s">
        <v>1520</v>
      </c>
      <c r="G66" t="s">
        <v>1533</v>
      </c>
      <c r="I66" t="s">
        <v>219</v>
      </c>
      <c r="J66">
        <v>1343</v>
      </c>
      <c r="K66" t="s">
        <v>1097</v>
      </c>
      <c r="L66">
        <v>5</v>
      </c>
      <c r="M66" s="7" t="s">
        <v>338</v>
      </c>
      <c r="N66" t="s">
        <v>1485</v>
      </c>
      <c r="O66" t="s">
        <v>1486</v>
      </c>
      <c r="P66" t="s">
        <v>225</v>
      </c>
      <c r="Q66" t="s">
        <v>205</v>
      </c>
      <c r="R66" t="s">
        <v>205</v>
      </c>
      <c r="S66" t="s">
        <v>205</v>
      </c>
      <c r="T66" t="s">
        <v>225</v>
      </c>
      <c r="V66" t="s">
        <v>1463</v>
      </c>
      <c r="W66">
        <v>1</v>
      </c>
      <c r="X66">
        <v>1</v>
      </c>
      <c r="Y66">
        <v>5</v>
      </c>
      <c r="Z66" t="s">
        <v>225</v>
      </c>
      <c r="AA66" t="s">
        <v>225</v>
      </c>
      <c r="AB66" t="s">
        <v>225</v>
      </c>
      <c r="AC66">
        <v>1</v>
      </c>
      <c r="AD66" t="s">
        <v>225</v>
      </c>
      <c r="AE66" t="s">
        <v>225</v>
      </c>
      <c r="AF66" t="s">
        <v>225</v>
      </c>
      <c r="AG66" t="s">
        <v>225</v>
      </c>
      <c r="AH66" t="s">
        <v>225</v>
      </c>
      <c r="AI66" t="s">
        <v>225</v>
      </c>
      <c r="AJ66" t="s">
        <v>225</v>
      </c>
      <c r="AK66" t="s">
        <v>225</v>
      </c>
      <c r="AL66" t="s">
        <v>225</v>
      </c>
      <c r="AM66" t="s">
        <v>225</v>
      </c>
      <c r="AN66" t="s">
        <v>225</v>
      </c>
      <c r="AO66" t="s">
        <v>225</v>
      </c>
      <c r="AP66">
        <v>9</v>
      </c>
      <c r="AQ66" t="s">
        <v>225</v>
      </c>
      <c r="AR66" t="s">
        <v>225</v>
      </c>
      <c r="AS66" t="s">
        <v>225</v>
      </c>
      <c r="AT66" t="s">
        <v>225</v>
      </c>
      <c r="AU66" t="s">
        <v>225</v>
      </c>
      <c r="AV66" t="s">
        <v>205</v>
      </c>
      <c r="AW66" t="s">
        <v>225</v>
      </c>
      <c r="AX66" t="s">
        <v>225</v>
      </c>
      <c r="AY66" t="s">
        <v>225</v>
      </c>
      <c r="AZ66" t="s">
        <v>225</v>
      </c>
      <c r="BA66" t="s">
        <v>225</v>
      </c>
      <c r="BB66" t="s">
        <v>225</v>
      </c>
      <c r="BC66" t="s">
        <v>225</v>
      </c>
      <c r="BD66" t="s">
        <v>225</v>
      </c>
      <c r="BE66" t="s">
        <v>225</v>
      </c>
      <c r="BF66" t="s">
        <v>225</v>
      </c>
      <c r="BG66" t="s">
        <v>225</v>
      </c>
      <c r="BH66" t="s">
        <v>225</v>
      </c>
      <c r="BI66" t="s">
        <v>225</v>
      </c>
      <c r="BJ66" t="s">
        <v>225</v>
      </c>
      <c r="BK66" t="s">
        <v>225</v>
      </c>
      <c r="BL66" t="s">
        <v>205</v>
      </c>
      <c r="BN66" t="s">
        <v>1561</v>
      </c>
      <c r="BO66" t="s">
        <v>1519</v>
      </c>
      <c r="BQ66" t="s">
        <v>1455</v>
      </c>
      <c r="BR66" s="5">
        <v>0</v>
      </c>
      <c r="BS66" s="5">
        <v>0</v>
      </c>
      <c r="BT66" s="5">
        <v>0</v>
      </c>
      <c r="BU66" s="5">
        <f>(BS66/8+BT66/4)*39</f>
        <v>0</v>
      </c>
      <c r="BV66" s="5">
        <v>0</v>
      </c>
      <c r="BW66" s="5">
        <v>0</v>
      </c>
      <c r="BX66" s="6">
        <f>3.5</f>
        <v>3.5</v>
      </c>
      <c r="BY66" s="5">
        <v>0</v>
      </c>
      <c r="BZ66" s="5">
        <v>0</v>
      </c>
      <c r="CA66" s="5">
        <v>0</v>
      </c>
      <c r="CB66" s="5">
        <v>0</v>
      </c>
      <c r="CC66" s="5">
        <f>(BV66+BW66/2+BX66/8+BY66/16+BZ66/4+CA66/32)*39</f>
        <v>17.0625</v>
      </c>
      <c r="CD66" s="5">
        <v>0</v>
      </c>
      <c r="CE66" s="5">
        <v>0</v>
      </c>
      <c r="CF66" s="5">
        <v>1.5</v>
      </c>
      <c r="CG66" s="5">
        <v>0.5</v>
      </c>
      <c r="CH66" s="5">
        <v>0</v>
      </c>
      <c r="CI66" s="5">
        <v>0</v>
      </c>
      <c r="CJ66" s="5">
        <v>0</v>
      </c>
      <c r="CK66" s="5">
        <v>0</v>
      </c>
      <c r="CL66" s="5">
        <f>(CD66+CE66/2+CF66/8+CG66/16+CH66/4+CJ66/32+CK66/16)*39</f>
        <v>8.53125</v>
      </c>
      <c r="CM66" s="5">
        <v>0</v>
      </c>
      <c r="CN66" s="5">
        <v>0</v>
      </c>
      <c r="CO66" s="5">
        <v>0</v>
      </c>
      <c r="CP66" s="5">
        <v>0</v>
      </c>
      <c r="CQ66" s="5">
        <v>0</v>
      </c>
      <c r="CS66">
        <f>3+11/12</f>
        <v>3.9166666666666665</v>
      </c>
      <c r="CT66">
        <v>1</v>
      </c>
      <c r="CU66">
        <v>0</v>
      </c>
      <c r="CV66">
        <v>0</v>
      </c>
      <c r="CW66">
        <f>CS66+CT66/24+CU66/48+CV66/48</f>
        <v>3.958333333333333</v>
      </c>
      <c r="CX66">
        <v>0</v>
      </c>
      <c r="CY66" t="s">
        <v>1526</v>
      </c>
      <c r="CZ66" t="s">
        <v>210</v>
      </c>
      <c r="DA66" t="s">
        <v>1338</v>
      </c>
      <c r="DB66" t="s">
        <v>405</v>
      </c>
      <c r="DC66" t="s">
        <v>262</v>
      </c>
      <c r="DD66" t="s">
        <v>693</v>
      </c>
      <c r="DE66" t="s">
        <v>945</v>
      </c>
      <c r="DF66" t="s">
        <v>1527</v>
      </c>
      <c r="DJ66" t="s">
        <v>1339</v>
      </c>
    </row>
    <row r="67" spans="1:114" x14ac:dyDescent="0.25">
      <c r="A67">
        <v>1161</v>
      </c>
      <c r="C67" t="s">
        <v>1529</v>
      </c>
      <c r="D67" t="s">
        <v>1528</v>
      </c>
      <c r="E67" t="s">
        <v>1520</v>
      </c>
      <c r="G67" t="s">
        <v>1530</v>
      </c>
      <c r="H67" t="s">
        <v>1531</v>
      </c>
      <c r="I67" t="s">
        <v>3219</v>
      </c>
      <c r="J67">
        <v>1343</v>
      </c>
      <c r="K67" t="s">
        <v>1097</v>
      </c>
      <c r="L67">
        <v>5</v>
      </c>
      <c r="M67" s="7" t="s">
        <v>338</v>
      </c>
      <c r="N67" t="s">
        <v>1532</v>
      </c>
      <c r="O67" s="39" t="s">
        <v>3958</v>
      </c>
      <c r="P67" t="s">
        <v>225</v>
      </c>
      <c r="Q67" t="s">
        <v>205</v>
      </c>
      <c r="R67" t="s">
        <v>205</v>
      </c>
      <c r="S67" t="s">
        <v>205</v>
      </c>
      <c r="T67" t="s">
        <v>225</v>
      </c>
      <c r="V67" t="s">
        <v>1463</v>
      </c>
      <c r="W67">
        <v>1</v>
      </c>
      <c r="X67">
        <v>1</v>
      </c>
      <c r="Y67">
        <v>3</v>
      </c>
      <c r="Z67" t="s">
        <v>225</v>
      </c>
      <c r="AA67">
        <v>1</v>
      </c>
      <c r="AB67" t="s">
        <v>225</v>
      </c>
      <c r="AC67">
        <v>2</v>
      </c>
      <c r="AD67" t="s">
        <v>225</v>
      </c>
      <c r="AE67" t="s">
        <v>225</v>
      </c>
      <c r="AF67" t="s">
        <v>225</v>
      </c>
      <c r="AG67" t="s">
        <v>225</v>
      </c>
      <c r="AH67" t="s">
        <v>225</v>
      </c>
      <c r="AI67" t="s">
        <v>225</v>
      </c>
      <c r="AJ67" t="s">
        <v>225</v>
      </c>
      <c r="AK67" t="s">
        <v>225</v>
      </c>
      <c r="AL67" t="s">
        <v>225</v>
      </c>
      <c r="AM67" t="s">
        <v>225</v>
      </c>
      <c r="AN67" t="s">
        <v>225</v>
      </c>
      <c r="AO67" t="s">
        <v>225</v>
      </c>
      <c r="AP67">
        <v>9</v>
      </c>
      <c r="AQ67" t="s">
        <v>225</v>
      </c>
      <c r="AR67" t="s">
        <v>225</v>
      </c>
      <c r="AS67" t="s">
        <v>225</v>
      </c>
      <c r="AT67" t="s">
        <v>225</v>
      </c>
      <c r="AU67" t="s">
        <v>225</v>
      </c>
      <c r="AV67" t="s">
        <v>225</v>
      </c>
      <c r="AW67" t="s">
        <v>225</v>
      </c>
      <c r="AX67" t="s">
        <v>225</v>
      </c>
      <c r="AY67" t="s">
        <v>225</v>
      </c>
      <c r="AZ67" t="s">
        <v>225</v>
      </c>
      <c r="BA67" t="s">
        <v>225</v>
      </c>
      <c r="BB67" t="s">
        <v>225</v>
      </c>
      <c r="BC67" t="s">
        <v>225</v>
      </c>
      <c r="BD67" t="s">
        <v>225</v>
      </c>
      <c r="BE67" t="s">
        <v>225</v>
      </c>
      <c r="BF67" t="s">
        <v>225</v>
      </c>
      <c r="BG67" t="s">
        <v>225</v>
      </c>
      <c r="BH67" t="s">
        <v>225</v>
      </c>
      <c r="BI67" t="s">
        <v>225</v>
      </c>
      <c r="BJ67" t="s">
        <v>225</v>
      </c>
      <c r="BK67" t="s">
        <v>225</v>
      </c>
      <c r="BL67" t="s">
        <v>205</v>
      </c>
      <c r="BN67" t="s">
        <v>1560</v>
      </c>
      <c r="BQ67" t="s">
        <v>1455</v>
      </c>
      <c r="BR67" s="5">
        <v>0</v>
      </c>
      <c r="BS67" s="5">
        <v>0</v>
      </c>
      <c r="BT67" s="5">
        <v>0</v>
      </c>
      <c r="BU67" s="5">
        <f>(BS67/8+BT67/4)*39</f>
        <v>0</v>
      </c>
      <c r="BV67" s="5">
        <v>0</v>
      </c>
      <c r="BW67" s="5">
        <v>0</v>
      </c>
      <c r="BX67" s="5">
        <f>1/2</f>
        <v>0.5</v>
      </c>
      <c r="BY67" s="5">
        <v>0</v>
      </c>
      <c r="BZ67" s="5">
        <v>1</v>
      </c>
      <c r="CA67" s="5">
        <v>0</v>
      </c>
      <c r="CB67" s="5">
        <v>0</v>
      </c>
      <c r="CC67" s="5">
        <f>(BV67+BW67/2+BX67/8+BY67/16+BZ67/4+CA67/32)*39</f>
        <v>12.1875</v>
      </c>
      <c r="CD67" s="5">
        <v>0</v>
      </c>
      <c r="CE67" s="5">
        <v>0</v>
      </c>
      <c r="CF67" s="5">
        <v>1</v>
      </c>
      <c r="CG67" s="5">
        <v>0</v>
      </c>
      <c r="CH67" s="5">
        <v>0</v>
      </c>
      <c r="CI67" s="5">
        <v>0</v>
      </c>
      <c r="CJ67" s="5">
        <v>0</v>
      </c>
      <c r="CK67" s="5">
        <v>0</v>
      </c>
      <c r="CL67" s="5">
        <f>(CD67+CE67/2+CF67/8+CG67/16+CH67/4+CJ67/32+CK67/16)*39</f>
        <v>4.875</v>
      </c>
      <c r="CM67" s="5">
        <v>0</v>
      </c>
      <c r="CN67" s="5">
        <v>0</v>
      </c>
      <c r="CO67" s="5">
        <v>0</v>
      </c>
      <c r="CP67" s="5">
        <v>0</v>
      </c>
      <c r="CQ67" s="5">
        <v>0</v>
      </c>
      <c r="CS67">
        <f>3+1/12</f>
        <v>3.0833333333333335</v>
      </c>
      <c r="CT67">
        <v>0</v>
      </c>
      <c r="CU67">
        <v>0</v>
      </c>
      <c r="CV67">
        <v>0</v>
      </c>
      <c r="CW67">
        <f>CS67+CT67/24+CU67/48+CV67/48</f>
        <v>3.0833333333333335</v>
      </c>
      <c r="CX67">
        <v>0</v>
      </c>
      <c r="CY67" t="s">
        <v>1559</v>
      </c>
      <c r="CZ67" t="s">
        <v>210</v>
      </c>
      <c r="DC67" t="s">
        <v>262</v>
      </c>
      <c r="DD67" t="s">
        <v>693</v>
      </c>
      <c r="DE67" t="s">
        <v>542</v>
      </c>
      <c r="DF67" t="s">
        <v>1562</v>
      </c>
      <c r="DG67" t="s">
        <v>1563</v>
      </c>
    </row>
    <row r="68" spans="1:114" x14ac:dyDescent="0.25">
      <c r="A68">
        <v>1701</v>
      </c>
      <c r="C68" t="s">
        <v>50</v>
      </c>
      <c r="D68" t="s">
        <v>1528</v>
      </c>
      <c r="E68" t="s">
        <v>1520</v>
      </c>
      <c r="I68" t="s">
        <v>219</v>
      </c>
      <c r="J68" s="5">
        <v>1343</v>
      </c>
      <c r="K68" t="s">
        <v>249</v>
      </c>
      <c r="L68">
        <v>16</v>
      </c>
      <c r="M68" s="7" t="s">
        <v>338</v>
      </c>
      <c r="N68" t="s">
        <v>3021</v>
      </c>
      <c r="O68" s="39" t="s">
        <v>1486</v>
      </c>
      <c r="P68" t="s">
        <v>225</v>
      </c>
      <c r="Q68" t="s">
        <v>205</v>
      </c>
      <c r="R68" t="s">
        <v>205</v>
      </c>
      <c r="S68" t="s">
        <v>205</v>
      </c>
      <c r="T68" t="s">
        <v>225</v>
      </c>
      <c r="V68" t="s">
        <v>1463</v>
      </c>
      <c r="W68" t="s">
        <v>205</v>
      </c>
      <c r="X68">
        <v>1</v>
      </c>
      <c r="Y68">
        <v>6</v>
      </c>
      <c r="Z68" t="s">
        <v>225</v>
      </c>
      <c r="AA68">
        <v>2</v>
      </c>
      <c r="AB68" t="s">
        <v>225</v>
      </c>
      <c r="AC68" t="s">
        <v>225</v>
      </c>
      <c r="AD68" t="s">
        <v>225</v>
      </c>
      <c r="AE68" t="s">
        <v>225</v>
      </c>
      <c r="AF68" t="s">
        <v>225</v>
      </c>
      <c r="AG68" t="s">
        <v>225</v>
      </c>
      <c r="AH68" t="s">
        <v>225</v>
      </c>
      <c r="AI68" t="s">
        <v>225</v>
      </c>
      <c r="AJ68" t="s">
        <v>225</v>
      </c>
      <c r="AK68" t="s">
        <v>225</v>
      </c>
      <c r="AL68" t="s">
        <v>225</v>
      </c>
      <c r="AM68">
        <v>1</v>
      </c>
      <c r="AN68" t="s">
        <v>225</v>
      </c>
      <c r="AO68" t="s">
        <v>225</v>
      </c>
      <c r="AP68">
        <v>15</v>
      </c>
      <c r="AQ68" t="s">
        <v>225</v>
      </c>
      <c r="AR68" t="s">
        <v>225</v>
      </c>
      <c r="AS68" t="s">
        <v>225</v>
      </c>
      <c r="AT68" t="s">
        <v>225</v>
      </c>
      <c r="AU68" t="s">
        <v>225</v>
      </c>
      <c r="AV68">
        <v>3</v>
      </c>
      <c r="AW68" t="s">
        <v>225</v>
      </c>
      <c r="AX68" t="s">
        <v>225</v>
      </c>
      <c r="AY68" t="s">
        <v>225</v>
      </c>
      <c r="AZ68" t="s">
        <v>225</v>
      </c>
      <c r="BA68" t="s">
        <v>225</v>
      </c>
      <c r="BB68" t="s">
        <v>225</v>
      </c>
      <c r="BC68" t="s">
        <v>225</v>
      </c>
      <c r="BD68" t="s">
        <v>225</v>
      </c>
      <c r="BE68" t="s">
        <v>225</v>
      </c>
      <c r="BF68" t="s">
        <v>225</v>
      </c>
      <c r="BG68" t="s">
        <v>225</v>
      </c>
      <c r="BH68">
        <v>1</v>
      </c>
      <c r="BI68" t="s">
        <v>225</v>
      </c>
      <c r="BJ68" t="s">
        <v>225</v>
      </c>
      <c r="BK68" t="s">
        <v>225</v>
      </c>
      <c r="BL68" t="s">
        <v>225</v>
      </c>
      <c r="BN68" t="s">
        <v>3049</v>
      </c>
      <c r="BQ68" t="s">
        <v>1455</v>
      </c>
      <c r="BR68" s="5">
        <v>0</v>
      </c>
      <c r="BS68" s="5">
        <v>0</v>
      </c>
      <c r="BT68" s="5">
        <v>0</v>
      </c>
      <c r="BU68" s="5">
        <f>(BS68/8+BT68/4)*39</f>
        <v>0</v>
      </c>
      <c r="BV68" s="5">
        <v>0</v>
      </c>
      <c r="BW68" s="5">
        <v>0</v>
      </c>
      <c r="BX68" s="5">
        <f>1+1/2</f>
        <v>1.5</v>
      </c>
      <c r="BY68" s="5">
        <v>0</v>
      </c>
      <c r="BZ68" s="5">
        <v>0</v>
      </c>
      <c r="CA68" s="5">
        <v>0</v>
      </c>
      <c r="CB68" s="5">
        <v>0</v>
      </c>
      <c r="CC68" s="5">
        <f>(BV68+BW68/2+BX68/8+BY68/16+BZ68/4+CA68/32)*39</f>
        <v>7.3125</v>
      </c>
      <c r="CD68" s="5">
        <v>0</v>
      </c>
      <c r="CE68" s="5">
        <v>1</v>
      </c>
      <c r="CF68" s="5">
        <f>1/2</f>
        <v>0.5</v>
      </c>
      <c r="CG68" s="5">
        <v>0</v>
      </c>
      <c r="CH68" s="5">
        <v>0</v>
      </c>
      <c r="CI68" s="5">
        <v>0</v>
      </c>
      <c r="CJ68" s="5">
        <v>0</v>
      </c>
      <c r="CK68" s="5">
        <v>0</v>
      </c>
      <c r="CL68" s="5">
        <f>(CD68+CE68/2+CF68/8+CG68/16+CH68/4+CJ68/32+CK68/16)*39</f>
        <v>21.9375</v>
      </c>
      <c r="CM68" s="5">
        <v>0</v>
      </c>
      <c r="CN68" s="5">
        <v>0</v>
      </c>
      <c r="CO68" s="5">
        <v>0</v>
      </c>
      <c r="CP68" s="5">
        <v>0</v>
      </c>
      <c r="CQ68" s="5">
        <v>0</v>
      </c>
      <c r="CS68">
        <f>13+10/12</f>
        <v>13.833333333333334</v>
      </c>
      <c r="CT68">
        <v>0</v>
      </c>
      <c r="CU68">
        <v>0</v>
      </c>
      <c r="CV68">
        <v>0</v>
      </c>
      <c r="CW68">
        <f>CS68+CT68/24+CU68/48+CV68/48</f>
        <v>13.833333333333334</v>
      </c>
      <c r="CX68">
        <v>0</v>
      </c>
      <c r="CY68" t="s">
        <v>3048</v>
      </c>
      <c r="CZ68" t="s">
        <v>210</v>
      </c>
      <c r="DC68" t="s">
        <v>2996</v>
      </c>
      <c r="DD68" t="s">
        <v>693</v>
      </c>
      <c r="DE68" t="s">
        <v>945</v>
      </c>
      <c r="DF68" t="s">
        <v>3050</v>
      </c>
      <c r="DG68" t="s">
        <v>3051</v>
      </c>
    </row>
    <row r="69" spans="1:114" x14ac:dyDescent="0.25">
      <c r="A69">
        <v>1443</v>
      </c>
      <c r="C69" s="15" t="s">
        <v>3755</v>
      </c>
      <c r="D69" t="s">
        <v>2289</v>
      </c>
      <c r="E69" t="s">
        <v>2291</v>
      </c>
      <c r="G69" t="s">
        <v>2290</v>
      </c>
      <c r="I69" t="s">
        <v>3964</v>
      </c>
      <c r="J69" s="5">
        <v>1345</v>
      </c>
      <c r="K69" t="s">
        <v>1038</v>
      </c>
      <c r="L69">
        <v>23</v>
      </c>
      <c r="M69" s="7" t="s">
        <v>338</v>
      </c>
      <c r="W69" t="s">
        <v>225</v>
      </c>
      <c r="X69" t="s">
        <v>225</v>
      </c>
      <c r="Y69" t="s">
        <v>225</v>
      </c>
      <c r="Z69" t="s">
        <v>225</v>
      </c>
      <c r="AA69" t="s">
        <v>225</v>
      </c>
      <c r="AB69" t="s">
        <v>225</v>
      </c>
      <c r="AC69" t="s">
        <v>225</v>
      </c>
      <c r="AD69" t="s">
        <v>225</v>
      </c>
      <c r="AE69" t="s">
        <v>225</v>
      </c>
      <c r="AF69" t="s">
        <v>225</v>
      </c>
      <c r="AG69" t="s">
        <v>225</v>
      </c>
      <c r="AH69" t="s">
        <v>225</v>
      </c>
      <c r="AI69" t="s">
        <v>225</v>
      </c>
      <c r="AJ69" t="s">
        <v>225</v>
      </c>
      <c r="AK69" t="s">
        <v>225</v>
      </c>
      <c r="AL69" t="s">
        <v>225</v>
      </c>
      <c r="AM69" t="s">
        <v>225</v>
      </c>
      <c r="AN69" t="s">
        <v>225</v>
      </c>
      <c r="AO69" t="s">
        <v>225</v>
      </c>
      <c r="AP69" t="s">
        <v>225</v>
      </c>
      <c r="AQ69" t="s">
        <v>225</v>
      </c>
      <c r="AR69" t="s">
        <v>225</v>
      </c>
      <c r="AS69" t="s">
        <v>225</v>
      </c>
      <c r="AT69" t="s">
        <v>225</v>
      </c>
      <c r="AU69">
        <v>1</v>
      </c>
      <c r="AV69" t="s">
        <v>225</v>
      </c>
      <c r="AW69" t="s">
        <v>225</v>
      </c>
      <c r="AX69" t="s">
        <v>225</v>
      </c>
      <c r="AY69" t="s">
        <v>225</v>
      </c>
      <c r="AZ69" t="s">
        <v>225</v>
      </c>
      <c r="BA69" t="s">
        <v>225</v>
      </c>
      <c r="BB69" t="s">
        <v>225</v>
      </c>
      <c r="BC69" t="s">
        <v>225</v>
      </c>
      <c r="BD69" t="s">
        <v>225</v>
      </c>
      <c r="BE69" t="s">
        <v>225</v>
      </c>
      <c r="BF69" t="s">
        <v>225</v>
      </c>
      <c r="BG69" t="s">
        <v>225</v>
      </c>
      <c r="BH69" t="s">
        <v>225</v>
      </c>
      <c r="BI69" t="s">
        <v>225</v>
      </c>
      <c r="BJ69" t="s">
        <v>225</v>
      </c>
      <c r="BK69" t="s">
        <v>225</v>
      </c>
      <c r="BL69" t="s">
        <v>225</v>
      </c>
      <c r="BN69" t="s">
        <v>1153</v>
      </c>
      <c r="BR69" s="5">
        <v>0</v>
      </c>
      <c r="BS69" s="5">
        <v>0</v>
      </c>
      <c r="BT69" s="5">
        <v>0</v>
      </c>
      <c r="BU69" s="5">
        <f>(BS69/8+BT69/4)*39</f>
        <v>0</v>
      </c>
      <c r="BV69" s="5">
        <v>0</v>
      </c>
      <c r="BW69" s="5">
        <v>0</v>
      </c>
      <c r="BX69" s="5">
        <v>0</v>
      </c>
      <c r="BY69" s="5">
        <v>0</v>
      </c>
      <c r="BZ69" s="5">
        <v>0</v>
      </c>
      <c r="CA69" s="5">
        <v>0</v>
      </c>
      <c r="CB69" s="5">
        <v>0</v>
      </c>
      <c r="CC69" s="5">
        <f>(BV69+BW69/2+BX69/8+BY69/16+BZ69/4+CA69/32)*39</f>
        <v>0</v>
      </c>
      <c r="CD69" s="5">
        <v>0</v>
      </c>
      <c r="CE69" s="5">
        <v>0</v>
      </c>
      <c r="CF69" s="5">
        <v>0</v>
      </c>
      <c r="CG69" s="5">
        <v>0</v>
      </c>
      <c r="CH69" s="5">
        <v>0</v>
      </c>
      <c r="CI69" s="5">
        <v>0</v>
      </c>
      <c r="CJ69" s="5">
        <v>0</v>
      </c>
      <c r="CK69" s="5">
        <v>0</v>
      </c>
      <c r="CL69" s="5">
        <f>(CD69+CE69/2+CF69/8+CG69/16+CH69/4+CJ69/32+CK69/16)*39</f>
        <v>0</v>
      </c>
      <c r="CM69" s="5">
        <v>0</v>
      </c>
      <c r="CN69" s="5">
        <v>0</v>
      </c>
      <c r="CO69" s="5">
        <v>0</v>
      </c>
      <c r="CP69" s="5">
        <v>0</v>
      </c>
      <c r="CQ69" s="5">
        <v>0</v>
      </c>
      <c r="CR69" t="s">
        <v>1153</v>
      </c>
      <c r="CS69">
        <f>13/12</f>
        <v>1.0833333333333333</v>
      </c>
      <c r="CT69">
        <v>0</v>
      </c>
      <c r="CU69">
        <v>0</v>
      </c>
      <c r="CV69">
        <v>0</v>
      </c>
      <c r="CW69">
        <f>CS69+CT69/24+CU69/48+CV69/48</f>
        <v>1.0833333333333333</v>
      </c>
      <c r="CX69">
        <v>0</v>
      </c>
      <c r="CZ69" t="s">
        <v>210</v>
      </c>
      <c r="DC69" t="s">
        <v>2281</v>
      </c>
      <c r="DD69" t="s">
        <v>2301</v>
      </c>
      <c r="DE69" t="s">
        <v>2282</v>
      </c>
      <c r="DF69" t="s">
        <v>2283</v>
      </c>
      <c r="DG69" t="s">
        <v>2284</v>
      </c>
    </row>
    <row r="70" spans="1:114" x14ac:dyDescent="0.25">
      <c r="A70">
        <v>1421</v>
      </c>
      <c r="C70" t="s">
        <v>2227</v>
      </c>
      <c r="D70" t="s">
        <v>2228</v>
      </c>
      <c r="E70" t="s">
        <v>33</v>
      </c>
      <c r="I70" t="s">
        <v>219</v>
      </c>
      <c r="J70">
        <v>1343</v>
      </c>
      <c r="K70" t="s">
        <v>817</v>
      </c>
      <c r="L70">
        <v>12</v>
      </c>
      <c r="M70" s="7" t="s">
        <v>338</v>
      </c>
      <c r="N70" t="s">
        <v>236</v>
      </c>
      <c r="P70" t="s">
        <v>225</v>
      </c>
      <c r="Q70" t="s">
        <v>205</v>
      </c>
      <c r="R70" t="s">
        <v>205</v>
      </c>
      <c r="S70" t="s">
        <v>205</v>
      </c>
      <c r="T70" t="s">
        <v>225</v>
      </c>
      <c r="U70" t="s">
        <v>277</v>
      </c>
      <c r="V70" t="s">
        <v>1463</v>
      </c>
      <c r="W70">
        <v>1</v>
      </c>
      <c r="X70">
        <v>1</v>
      </c>
      <c r="Y70" t="s">
        <v>205</v>
      </c>
      <c r="Z70" t="s">
        <v>225</v>
      </c>
      <c r="AA70" t="s">
        <v>225</v>
      </c>
      <c r="AB70" t="s">
        <v>225</v>
      </c>
      <c r="AC70" t="s">
        <v>205</v>
      </c>
      <c r="AD70" t="s">
        <v>225</v>
      </c>
      <c r="AE70" t="s">
        <v>225</v>
      </c>
      <c r="AF70" t="s">
        <v>225</v>
      </c>
      <c r="AG70" t="s">
        <v>225</v>
      </c>
      <c r="AH70" t="s">
        <v>225</v>
      </c>
      <c r="AI70" t="s">
        <v>225</v>
      </c>
      <c r="AJ70" t="s">
        <v>225</v>
      </c>
      <c r="AK70" t="s">
        <v>225</v>
      </c>
      <c r="AL70">
        <v>1</v>
      </c>
      <c r="AM70" t="s">
        <v>225</v>
      </c>
      <c r="AN70" t="s">
        <v>225</v>
      </c>
      <c r="AO70" t="s">
        <v>225</v>
      </c>
      <c r="AP70" t="s">
        <v>225</v>
      </c>
      <c r="AQ70" t="s">
        <v>225</v>
      </c>
      <c r="AR70" t="s">
        <v>225</v>
      </c>
      <c r="AS70" t="s">
        <v>225</v>
      </c>
      <c r="AT70" t="s">
        <v>225</v>
      </c>
      <c r="AU70" t="s">
        <v>225</v>
      </c>
      <c r="AV70" t="s">
        <v>225</v>
      </c>
      <c r="AW70" t="s">
        <v>225</v>
      </c>
      <c r="AX70" t="s">
        <v>225</v>
      </c>
      <c r="AY70" t="s">
        <v>225</v>
      </c>
      <c r="AZ70" t="s">
        <v>225</v>
      </c>
      <c r="BA70" t="s">
        <v>225</v>
      </c>
      <c r="BB70" t="s">
        <v>225</v>
      </c>
      <c r="BC70" t="s">
        <v>225</v>
      </c>
      <c r="BD70" t="s">
        <v>225</v>
      </c>
      <c r="BE70" t="s">
        <v>225</v>
      </c>
      <c r="BF70" t="s">
        <v>225</v>
      </c>
      <c r="BG70" t="s">
        <v>225</v>
      </c>
      <c r="BH70" t="s">
        <v>225</v>
      </c>
      <c r="BI70" t="s">
        <v>225</v>
      </c>
      <c r="BJ70" t="s">
        <v>225</v>
      </c>
      <c r="BK70" t="s">
        <v>225</v>
      </c>
      <c r="BL70" t="s">
        <v>225</v>
      </c>
      <c r="BN70" s="5" t="s">
        <v>2252</v>
      </c>
      <c r="BQ70" t="s">
        <v>539</v>
      </c>
      <c r="BR70" s="5">
        <v>1</v>
      </c>
      <c r="BS70" s="5">
        <v>0</v>
      </c>
      <c r="BT70" s="5">
        <v>0</v>
      </c>
      <c r="BU70" s="5">
        <f>(BS70/8+BT70/4)*39</f>
        <v>0</v>
      </c>
      <c r="BV70" s="5">
        <v>0</v>
      </c>
      <c r="BW70" s="5">
        <v>0</v>
      </c>
      <c r="BX70" s="5">
        <v>0</v>
      </c>
      <c r="BY70" s="5">
        <v>0</v>
      </c>
      <c r="BZ70" s="5">
        <v>0</v>
      </c>
      <c r="CA70" s="5">
        <v>0</v>
      </c>
      <c r="CB70" s="5">
        <v>0</v>
      </c>
      <c r="CC70" s="5">
        <f>(BV70+BW70/2+BX70/8+BY70/16+BZ70/4+CA70/32)*39</f>
        <v>0</v>
      </c>
      <c r="CD70" s="5">
        <v>0</v>
      </c>
      <c r="CE70" s="5">
        <v>0</v>
      </c>
      <c r="CF70" s="5">
        <f>1/2+1/2</f>
        <v>1</v>
      </c>
      <c r="CG70" s="5">
        <f>1+1/3+1+1/5</f>
        <v>2.5333333333333332</v>
      </c>
      <c r="CH70" s="5">
        <v>0</v>
      </c>
      <c r="CI70" s="5">
        <v>0</v>
      </c>
      <c r="CJ70" s="5">
        <v>0</v>
      </c>
      <c r="CK70" s="5">
        <v>0</v>
      </c>
      <c r="CL70" s="5">
        <f>(CD70+CE70/2+CF70/8+CG70/16+CH70/4+CJ70/32+CK70/16)*39</f>
        <v>11.049999999999999</v>
      </c>
      <c r="CM70" s="5">
        <v>0</v>
      </c>
      <c r="CN70" s="5">
        <v>0</v>
      </c>
      <c r="CO70" s="5">
        <v>0</v>
      </c>
      <c r="CP70" s="5">
        <v>0</v>
      </c>
      <c r="CQ70" s="5">
        <v>0</v>
      </c>
      <c r="CR70" t="s">
        <v>2249</v>
      </c>
      <c r="CS70">
        <f>5+4/12</f>
        <v>5.333333333333333</v>
      </c>
      <c r="CT70">
        <v>0</v>
      </c>
      <c r="CU70">
        <v>0</v>
      </c>
      <c r="CV70">
        <v>0</v>
      </c>
      <c r="CW70">
        <f>CS70+CT70/24+CU70/48+CV70/48</f>
        <v>5.333333333333333</v>
      </c>
      <c r="CX70">
        <f>4/12</f>
        <v>0.33333333333333331</v>
      </c>
      <c r="CZ70" t="s">
        <v>210</v>
      </c>
      <c r="DA70" t="s">
        <v>1733</v>
      </c>
      <c r="DB70" t="s">
        <v>2253</v>
      </c>
      <c r="DC70" t="s">
        <v>262</v>
      </c>
      <c r="DD70" t="s">
        <v>693</v>
      </c>
      <c r="DE70" t="s">
        <v>2254</v>
      </c>
      <c r="DF70" t="s">
        <v>3976</v>
      </c>
    </row>
    <row r="71" spans="1:114" x14ac:dyDescent="0.25">
      <c r="A71">
        <v>1341</v>
      </c>
      <c r="C71" t="s">
        <v>19</v>
      </c>
      <c r="D71" t="s">
        <v>1858</v>
      </c>
      <c r="E71" t="s">
        <v>1810</v>
      </c>
      <c r="I71" t="s">
        <v>219</v>
      </c>
      <c r="J71">
        <v>1343</v>
      </c>
      <c r="K71" t="s">
        <v>1097</v>
      </c>
      <c r="L71">
        <v>12</v>
      </c>
      <c r="M71" s="7" t="s">
        <v>338</v>
      </c>
      <c r="N71" t="s">
        <v>236</v>
      </c>
      <c r="P71" t="s">
        <v>225</v>
      </c>
      <c r="Q71" t="s">
        <v>205</v>
      </c>
      <c r="R71" t="s">
        <v>205</v>
      </c>
      <c r="S71" t="s">
        <v>205</v>
      </c>
      <c r="T71" t="s">
        <v>225</v>
      </c>
      <c r="W71">
        <v>1</v>
      </c>
      <c r="X71" t="s">
        <v>225</v>
      </c>
      <c r="Y71" t="s">
        <v>225</v>
      </c>
      <c r="Z71" t="s">
        <v>225</v>
      </c>
      <c r="AA71">
        <v>1</v>
      </c>
      <c r="AB71" t="s">
        <v>225</v>
      </c>
      <c r="AC71" t="s">
        <v>225</v>
      </c>
      <c r="AD71" t="s">
        <v>225</v>
      </c>
      <c r="AE71" t="s">
        <v>225</v>
      </c>
      <c r="AF71" t="s">
        <v>225</v>
      </c>
      <c r="AG71" t="s">
        <v>225</v>
      </c>
      <c r="AH71" t="s">
        <v>225</v>
      </c>
      <c r="AI71" t="s">
        <v>225</v>
      </c>
      <c r="AJ71" t="s">
        <v>225</v>
      </c>
      <c r="AK71" t="s">
        <v>225</v>
      </c>
      <c r="AL71" t="s">
        <v>225</v>
      </c>
      <c r="AM71" t="s">
        <v>225</v>
      </c>
      <c r="AN71" t="s">
        <v>205</v>
      </c>
      <c r="AO71" t="s">
        <v>225</v>
      </c>
      <c r="AP71">
        <v>6</v>
      </c>
      <c r="AQ71" t="s">
        <v>225</v>
      </c>
      <c r="AR71" t="s">
        <v>225</v>
      </c>
      <c r="AS71" t="s">
        <v>225</v>
      </c>
      <c r="AT71" t="s">
        <v>225</v>
      </c>
      <c r="AU71" t="s">
        <v>225</v>
      </c>
      <c r="AV71" t="s">
        <v>225</v>
      </c>
      <c r="AW71" t="s">
        <v>225</v>
      </c>
      <c r="AX71" t="s">
        <v>225</v>
      </c>
      <c r="AY71" t="s">
        <v>225</v>
      </c>
      <c r="AZ71" t="s">
        <v>225</v>
      </c>
      <c r="BA71" t="s">
        <v>225</v>
      </c>
      <c r="BB71" t="s">
        <v>225</v>
      </c>
      <c r="BC71" t="s">
        <v>225</v>
      </c>
      <c r="BD71" t="s">
        <v>225</v>
      </c>
      <c r="BE71" t="s">
        <v>225</v>
      </c>
      <c r="BF71" t="s">
        <v>225</v>
      </c>
      <c r="BG71" t="s">
        <v>225</v>
      </c>
      <c r="BH71" t="s">
        <v>225</v>
      </c>
      <c r="BI71" t="s">
        <v>225</v>
      </c>
      <c r="BJ71" t="s">
        <v>225</v>
      </c>
      <c r="BK71" t="s">
        <v>225</v>
      </c>
      <c r="BL71" t="s">
        <v>225</v>
      </c>
      <c r="BN71" t="s">
        <v>1868</v>
      </c>
      <c r="BO71" t="s">
        <v>1867</v>
      </c>
      <c r="BQ71" s="1" t="s">
        <v>1907</v>
      </c>
      <c r="BR71" s="5">
        <v>1</v>
      </c>
      <c r="BS71" s="5">
        <v>0</v>
      </c>
      <c r="BT71" s="5">
        <v>0</v>
      </c>
      <c r="BU71" s="5">
        <f>(BS71/8+BT71/4)*39</f>
        <v>0</v>
      </c>
      <c r="BV71" s="5">
        <v>0</v>
      </c>
      <c r="BW71" s="5">
        <v>0</v>
      </c>
      <c r="BX71" s="5">
        <v>0</v>
      </c>
      <c r="BY71" s="5">
        <f>1+1/3</f>
        <v>1.3333333333333333</v>
      </c>
      <c r="BZ71" s="5">
        <v>0</v>
      </c>
      <c r="CA71" s="5">
        <v>0</v>
      </c>
      <c r="CB71" s="5">
        <v>0</v>
      </c>
      <c r="CC71" s="5">
        <f>(BV71+BW71/2+BX71/8+BY71/16+BZ71/4+CA71/32)*39</f>
        <v>3.25</v>
      </c>
      <c r="CD71" s="5">
        <v>0</v>
      </c>
      <c r="CE71" s="5">
        <v>0</v>
      </c>
      <c r="CF71" s="5">
        <v>1</v>
      </c>
      <c r="CG71" s="5">
        <v>0</v>
      </c>
      <c r="CH71" s="5">
        <v>0</v>
      </c>
      <c r="CI71" s="5">
        <v>0</v>
      </c>
      <c r="CJ71" s="5">
        <v>0</v>
      </c>
      <c r="CK71" s="5">
        <v>0</v>
      </c>
      <c r="CL71" s="5">
        <f>(CD71+CE71/2+CF71/8+CG71/16+CH71/4+CJ71/32+CK71/16)*39</f>
        <v>4.875</v>
      </c>
      <c r="CM71" s="5">
        <v>0</v>
      </c>
      <c r="CN71" s="5">
        <v>0</v>
      </c>
      <c r="CO71" s="5">
        <v>0</v>
      </c>
      <c r="CP71" s="5">
        <v>0</v>
      </c>
      <c r="CQ71" s="5">
        <v>0</v>
      </c>
      <c r="CR71" t="s">
        <v>1870</v>
      </c>
      <c r="CS71">
        <f>3+6/12+2/12</f>
        <v>3.6666666666666665</v>
      </c>
      <c r="CT71">
        <v>0</v>
      </c>
      <c r="CU71">
        <v>0</v>
      </c>
      <c r="CV71">
        <v>0</v>
      </c>
      <c r="CW71">
        <f>CS71+CT71/24+CU71/48+CV71/48</f>
        <v>3.6666666666666665</v>
      </c>
      <c r="CX71">
        <v>0</v>
      </c>
      <c r="CY71" t="s">
        <v>248</v>
      </c>
      <c r="DA71" t="s">
        <v>1733</v>
      </c>
      <c r="DB71" t="s">
        <v>1871</v>
      </c>
      <c r="DC71" s="16" t="s">
        <v>262</v>
      </c>
      <c r="DD71" s="16" t="s">
        <v>693</v>
      </c>
      <c r="DE71" s="5"/>
      <c r="DF71" s="5"/>
      <c r="DG71" s="5"/>
      <c r="DH71" s="5"/>
      <c r="DI71" s="5"/>
    </row>
    <row r="72" spans="1:114" x14ac:dyDescent="0.25">
      <c r="A72">
        <v>1172</v>
      </c>
      <c r="C72" t="s">
        <v>1572</v>
      </c>
      <c r="D72" t="s">
        <v>3</v>
      </c>
      <c r="E72" t="s">
        <v>1573</v>
      </c>
      <c r="F72" t="s">
        <v>1574</v>
      </c>
      <c r="I72" t="s">
        <v>219</v>
      </c>
      <c r="J72">
        <v>1344</v>
      </c>
      <c r="K72" t="s">
        <v>265</v>
      </c>
      <c r="L72">
        <v>26</v>
      </c>
      <c r="M72" s="7" t="s">
        <v>338</v>
      </c>
      <c r="V72" t="s">
        <v>1463</v>
      </c>
      <c r="W72" t="s">
        <v>225</v>
      </c>
      <c r="X72" t="s">
        <v>225</v>
      </c>
      <c r="Y72" s="5" t="s">
        <v>515</v>
      </c>
      <c r="Z72" t="s">
        <v>225</v>
      </c>
      <c r="AA72" t="s">
        <v>225</v>
      </c>
      <c r="AB72" t="s">
        <v>225</v>
      </c>
      <c r="AC72" t="s">
        <v>225</v>
      </c>
      <c r="AD72" t="s">
        <v>225</v>
      </c>
      <c r="AE72" t="s">
        <v>225</v>
      </c>
      <c r="AF72" t="s">
        <v>225</v>
      </c>
      <c r="AG72" t="s">
        <v>225</v>
      </c>
      <c r="AH72" t="s">
        <v>225</v>
      </c>
      <c r="AI72" t="s">
        <v>225</v>
      </c>
      <c r="AJ72" t="s">
        <v>225</v>
      </c>
      <c r="AK72" t="s">
        <v>225</v>
      </c>
      <c r="AL72" t="s">
        <v>225</v>
      </c>
      <c r="AM72" t="s">
        <v>225</v>
      </c>
      <c r="AN72" t="s">
        <v>225</v>
      </c>
      <c r="AO72" t="s">
        <v>225</v>
      </c>
      <c r="AP72" t="s">
        <v>225</v>
      </c>
      <c r="AQ72" t="s">
        <v>225</v>
      </c>
      <c r="AR72" t="s">
        <v>225</v>
      </c>
      <c r="AS72" t="s">
        <v>225</v>
      </c>
      <c r="AT72" t="s">
        <v>225</v>
      </c>
      <c r="AU72" t="s">
        <v>225</v>
      </c>
      <c r="AV72" t="s">
        <v>225</v>
      </c>
      <c r="AW72" t="s">
        <v>225</v>
      </c>
      <c r="AX72" t="s">
        <v>225</v>
      </c>
      <c r="AY72" t="s">
        <v>225</v>
      </c>
      <c r="AZ72" t="s">
        <v>225</v>
      </c>
      <c r="BA72" t="s">
        <v>225</v>
      </c>
      <c r="BB72" t="s">
        <v>225</v>
      </c>
      <c r="BC72" t="s">
        <v>225</v>
      </c>
      <c r="BD72" t="s">
        <v>225</v>
      </c>
      <c r="BE72" t="s">
        <v>225</v>
      </c>
      <c r="BF72" t="s">
        <v>225</v>
      </c>
      <c r="BG72" t="s">
        <v>225</v>
      </c>
      <c r="BH72" t="s">
        <v>225</v>
      </c>
      <c r="BI72" t="s">
        <v>225</v>
      </c>
      <c r="BJ72" t="s">
        <v>225</v>
      </c>
      <c r="BK72" t="s">
        <v>225</v>
      </c>
      <c r="BL72" t="s">
        <v>225</v>
      </c>
      <c r="BN72" s="5" t="s">
        <v>1575</v>
      </c>
      <c r="BR72" s="5">
        <v>0</v>
      </c>
      <c r="BS72" s="5">
        <v>0</v>
      </c>
      <c r="BT72" s="5">
        <v>0</v>
      </c>
      <c r="BU72" s="5">
        <f>(BS72/8+BT72/4)*39</f>
        <v>0</v>
      </c>
      <c r="BV72" s="5">
        <v>0</v>
      </c>
      <c r="BW72" s="5">
        <v>0</v>
      </c>
      <c r="BX72" s="5">
        <v>0</v>
      </c>
      <c r="BY72" s="5">
        <v>0</v>
      </c>
      <c r="BZ72" s="5">
        <v>0</v>
      </c>
      <c r="CA72" s="5">
        <v>0</v>
      </c>
      <c r="CB72" s="5">
        <v>0</v>
      </c>
      <c r="CC72" s="5">
        <f>(BV72+BW72/2+BX72/8+BY72/16+BZ72/4+CA72/32)*39</f>
        <v>0</v>
      </c>
      <c r="CD72" s="5">
        <v>0</v>
      </c>
      <c r="CE72" s="5">
        <v>0</v>
      </c>
      <c r="CF72" s="5">
        <v>0</v>
      </c>
      <c r="CG72" s="5">
        <v>0</v>
      </c>
      <c r="CH72" s="5">
        <v>0</v>
      </c>
      <c r="CI72" s="5">
        <v>0</v>
      </c>
      <c r="CJ72" s="5">
        <v>0</v>
      </c>
      <c r="CK72" s="5">
        <v>0</v>
      </c>
      <c r="CL72" s="5">
        <f>(CD72+CE72/2+CF72/8+CG72/16+CH72/4+CJ72/32+CK72/16)*39</f>
        <v>0</v>
      </c>
      <c r="CM72" s="5">
        <v>0</v>
      </c>
      <c r="CN72" s="5">
        <v>0</v>
      </c>
      <c r="CO72" s="5">
        <v>0</v>
      </c>
      <c r="CP72" s="5">
        <v>0</v>
      </c>
      <c r="CQ72" s="5">
        <v>0</v>
      </c>
      <c r="CR72" s="5" t="s">
        <v>1575</v>
      </c>
      <c r="CS72">
        <f>12/12</f>
        <v>1</v>
      </c>
      <c r="CT72">
        <v>0</v>
      </c>
      <c r="CU72">
        <v>0</v>
      </c>
      <c r="CV72">
        <v>0</v>
      </c>
      <c r="CW72">
        <f>CS72+CT72/24+CU72/48+CV72/48</f>
        <v>1</v>
      </c>
      <c r="CX72">
        <v>0</v>
      </c>
      <c r="CZ72" t="s">
        <v>210</v>
      </c>
      <c r="DC72" t="s">
        <v>1578</v>
      </c>
      <c r="DD72" t="s">
        <v>693</v>
      </c>
      <c r="DE72" t="s">
        <v>1579</v>
      </c>
      <c r="DF72" t="s">
        <v>1580</v>
      </c>
    </row>
    <row r="73" spans="1:114" x14ac:dyDescent="0.25">
      <c r="A73">
        <v>1521</v>
      </c>
      <c r="C73" t="s">
        <v>465</v>
      </c>
      <c r="D73" t="s">
        <v>5</v>
      </c>
      <c r="E73" t="s">
        <v>2573</v>
      </c>
      <c r="I73" t="s">
        <v>219</v>
      </c>
      <c r="J73" s="16">
        <v>1342</v>
      </c>
      <c r="K73" s="16" t="s">
        <v>817</v>
      </c>
      <c r="L73" t="s">
        <v>15</v>
      </c>
      <c r="M73" s="7" t="s">
        <v>338</v>
      </c>
      <c r="N73" t="s">
        <v>2572</v>
      </c>
      <c r="O73" s="39" t="s">
        <v>3958</v>
      </c>
      <c r="P73" t="s">
        <v>225</v>
      </c>
      <c r="Q73" t="s">
        <v>205</v>
      </c>
      <c r="R73" t="s">
        <v>205</v>
      </c>
      <c r="S73" t="s">
        <v>205</v>
      </c>
      <c r="T73" t="s">
        <v>225</v>
      </c>
      <c r="U73" t="s">
        <v>277</v>
      </c>
      <c r="V73" t="s">
        <v>1463</v>
      </c>
      <c r="W73" t="s">
        <v>225</v>
      </c>
      <c r="X73" t="s">
        <v>225</v>
      </c>
      <c r="Y73" t="s">
        <v>225</v>
      </c>
      <c r="Z73" t="s">
        <v>225</v>
      </c>
      <c r="AA73" t="s">
        <v>225</v>
      </c>
      <c r="AB73" t="s">
        <v>225</v>
      </c>
      <c r="AC73" t="s">
        <v>225</v>
      </c>
      <c r="AD73" t="s">
        <v>225</v>
      </c>
      <c r="AE73" t="s">
        <v>225</v>
      </c>
      <c r="AF73" t="s">
        <v>225</v>
      </c>
      <c r="AG73" t="s">
        <v>225</v>
      </c>
      <c r="AH73" t="s">
        <v>225</v>
      </c>
      <c r="AI73" t="s">
        <v>225</v>
      </c>
      <c r="AJ73" t="s">
        <v>225</v>
      </c>
      <c r="AK73" t="s">
        <v>225</v>
      </c>
      <c r="AL73" t="s">
        <v>225</v>
      </c>
      <c r="AM73" t="s">
        <v>225</v>
      </c>
      <c r="AN73" t="s">
        <v>225</v>
      </c>
      <c r="AO73" t="s">
        <v>225</v>
      </c>
      <c r="AP73" t="s">
        <v>225</v>
      </c>
      <c r="AQ73" t="s">
        <v>225</v>
      </c>
      <c r="AR73" t="s">
        <v>225</v>
      </c>
      <c r="AS73" t="s">
        <v>225</v>
      </c>
      <c r="AT73" t="s">
        <v>225</v>
      </c>
      <c r="AU73">
        <v>1</v>
      </c>
      <c r="AV73" t="s">
        <v>225</v>
      </c>
      <c r="AW73" t="s">
        <v>225</v>
      </c>
      <c r="AX73" t="s">
        <v>225</v>
      </c>
      <c r="AY73" t="s">
        <v>225</v>
      </c>
      <c r="AZ73" t="s">
        <v>225</v>
      </c>
      <c r="BA73" t="s">
        <v>225</v>
      </c>
      <c r="BB73" t="s">
        <v>225</v>
      </c>
      <c r="BC73" t="s">
        <v>225</v>
      </c>
      <c r="BD73" t="s">
        <v>225</v>
      </c>
      <c r="BE73" t="s">
        <v>225</v>
      </c>
      <c r="BF73" t="s">
        <v>225</v>
      </c>
      <c r="BG73" t="s">
        <v>225</v>
      </c>
      <c r="BH73" t="s">
        <v>225</v>
      </c>
      <c r="BI73" t="s">
        <v>225</v>
      </c>
      <c r="BJ73" t="s">
        <v>225</v>
      </c>
      <c r="BK73" t="s">
        <v>225</v>
      </c>
      <c r="BL73" t="s">
        <v>225</v>
      </c>
      <c r="BN73" t="s">
        <v>1153</v>
      </c>
      <c r="BQ73" t="s">
        <v>1455</v>
      </c>
      <c r="BR73" s="5">
        <v>1</v>
      </c>
      <c r="BS73" s="5">
        <v>0</v>
      </c>
      <c r="BT73" s="5">
        <v>0</v>
      </c>
      <c r="BU73" s="5">
        <f>(BS73/8+BT73/4)*39</f>
        <v>0</v>
      </c>
      <c r="BV73" s="5">
        <v>2</v>
      </c>
      <c r="BW73" s="5">
        <v>0</v>
      </c>
      <c r="BX73" s="5">
        <v>0</v>
      </c>
      <c r="BY73" s="5">
        <v>0</v>
      </c>
      <c r="BZ73" s="5">
        <v>0</v>
      </c>
      <c r="CA73" s="5">
        <v>0</v>
      </c>
      <c r="CB73" s="5">
        <v>0</v>
      </c>
      <c r="CC73" s="5">
        <f>(BV73+BW73/2+BX73/8+BY73/16+BZ73/4+CA73/32)*39</f>
        <v>78</v>
      </c>
      <c r="CD73" s="5">
        <v>2</v>
      </c>
      <c r="CE73" s="5">
        <v>0</v>
      </c>
      <c r="CF73" s="5">
        <v>0</v>
      </c>
      <c r="CG73" s="5">
        <v>0</v>
      </c>
      <c r="CH73" s="5">
        <v>0</v>
      </c>
      <c r="CI73" s="5">
        <v>0</v>
      </c>
      <c r="CJ73" s="5">
        <v>0</v>
      </c>
      <c r="CK73" s="5">
        <v>0</v>
      </c>
      <c r="CL73" s="5">
        <f>(CD73+CE73/2+CF73/8+CG73/16+CH73/4+CJ73/32+CK73/16)*39</f>
        <v>78</v>
      </c>
      <c r="CM73" s="5">
        <v>0</v>
      </c>
      <c r="CN73" s="5">
        <v>0</v>
      </c>
      <c r="CO73" s="5">
        <v>0</v>
      </c>
      <c r="CP73" s="5">
        <v>0</v>
      </c>
      <c r="CQ73" s="5">
        <v>0</v>
      </c>
      <c r="CR73" t="s">
        <v>1153</v>
      </c>
      <c r="CS73">
        <v>25</v>
      </c>
      <c r="CT73">
        <v>0</v>
      </c>
      <c r="CU73">
        <v>0</v>
      </c>
      <c r="CV73">
        <v>0</v>
      </c>
      <c r="CW73">
        <f>CS73+CT73/24+CU73/48+CV73/48</f>
        <v>25</v>
      </c>
      <c r="CX73">
        <v>0</v>
      </c>
      <c r="DC73" s="15" t="s">
        <v>1569</v>
      </c>
      <c r="DD73" t="s">
        <v>693</v>
      </c>
      <c r="DE73" t="s">
        <v>1196</v>
      </c>
      <c r="DF73" t="s">
        <v>2579</v>
      </c>
      <c r="DG73" t="s">
        <v>2580</v>
      </c>
      <c r="DH73" t="s">
        <v>2581</v>
      </c>
    </row>
    <row r="74" spans="1:114" x14ac:dyDescent="0.25">
      <c r="A74">
        <v>441</v>
      </c>
      <c r="C74" t="s">
        <v>465</v>
      </c>
      <c r="D74" t="s">
        <v>112</v>
      </c>
      <c r="E74" t="s">
        <v>111</v>
      </c>
      <c r="G74" t="s">
        <v>464</v>
      </c>
      <c r="H74" t="s">
        <v>466</v>
      </c>
      <c r="I74" t="s">
        <v>219</v>
      </c>
      <c r="J74">
        <v>1343</v>
      </c>
      <c r="K74" t="s">
        <v>249</v>
      </c>
      <c r="L74">
        <v>2</v>
      </c>
      <c r="M74" s="14" t="s">
        <v>338</v>
      </c>
      <c r="N74" t="s">
        <v>236</v>
      </c>
      <c r="O74" t="s">
        <v>201</v>
      </c>
      <c r="P74" t="s">
        <v>225</v>
      </c>
      <c r="Q74" t="s">
        <v>205</v>
      </c>
      <c r="R74" t="s">
        <v>205</v>
      </c>
      <c r="S74" t="s">
        <v>205</v>
      </c>
      <c r="T74" t="s">
        <v>225</v>
      </c>
      <c r="V74" t="s">
        <v>204</v>
      </c>
      <c r="W74" t="s">
        <v>205</v>
      </c>
      <c r="X74" t="s">
        <v>205</v>
      </c>
      <c r="Y74" t="s">
        <v>205</v>
      </c>
      <c r="Z74" t="s">
        <v>225</v>
      </c>
      <c r="AA74" t="s">
        <v>225</v>
      </c>
      <c r="AB74" t="s">
        <v>225</v>
      </c>
      <c r="AC74" t="s">
        <v>225</v>
      </c>
      <c r="AD74" t="s">
        <v>205</v>
      </c>
      <c r="AE74" t="s">
        <v>225</v>
      </c>
      <c r="AF74" t="s">
        <v>225</v>
      </c>
      <c r="AG74">
        <v>1</v>
      </c>
      <c r="AH74" t="s">
        <v>225</v>
      </c>
      <c r="AI74" t="s">
        <v>225</v>
      </c>
      <c r="AJ74" t="s">
        <v>225</v>
      </c>
      <c r="AK74" t="s">
        <v>225</v>
      </c>
      <c r="AL74" t="s">
        <v>225</v>
      </c>
      <c r="AM74">
        <v>1</v>
      </c>
      <c r="AN74" t="s">
        <v>225</v>
      </c>
      <c r="AO74" t="s">
        <v>225</v>
      </c>
      <c r="AP74" t="s">
        <v>225</v>
      </c>
      <c r="AQ74" t="s">
        <v>225</v>
      </c>
      <c r="AR74" t="s">
        <v>225</v>
      </c>
      <c r="AS74" t="s">
        <v>225</v>
      </c>
      <c r="AT74" t="s">
        <v>225</v>
      </c>
      <c r="AU74" t="s">
        <v>225</v>
      </c>
      <c r="AV74" t="s">
        <v>225</v>
      </c>
      <c r="AW74" t="s">
        <v>225</v>
      </c>
      <c r="AX74" t="s">
        <v>225</v>
      </c>
      <c r="AY74" t="s">
        <v>225</v>
      </c>
      <c r="AZ74" t="s">
        <v>225</v>
      </c>
      <c r="BA74" t="s">
        <v>225</v>
      </c>
      <c r="BB74" t="s">
        <v>225</v>
      </c>
      <c r="BC74" t="s">
        <v>225</v>
      </c>
      <c r="BD74" t="s">
        <v>225</v>
      </c>
      <c r="BE74" t="s">
        <v>225</v>
      </c>
      <c r="BF74" t="s">
        <v>225</v>
      </c>
      <c r="BG74" t="s">
        <v>225</v>
      </c>
      <c r="BH74" t="s">
        <v>225</v>
      </c>
      <c r="BI74" t="s">
        <v>225</v>
      </c>
      <c r="BJ74" t="s">
        <v>225</v>
      </c>
      <c r="BK74" t="s">
        <v>225</v>
      </c>
      <c r="BL74" t="s">
        <v>225</v>
      </c>
      <c r="BN74" t="s">
        <v>489</v>
      </c>
      <c r="BP74" t="s">
        <v>467</v>
      </c>
      <c r="BQ74" t="s">
        <v>539</v>
      </c>
      <c r="BR74">
        <f>1+2</f>
        <v>3</v>
      </c>
      <c r="BS74">
        <v>0</v>
      </c>
      <c r="BT74">
        <v>0</v>
      </c>
      <c r="BU74" s="5">
        <f>(BS74/8+BT74/4)*39</f>
        <v>0</v>
      </c>
      <c r="BV74">
        <v>0</v>
      </c>
      <c r="BW74" s="5">
        <v>0</v>
      </c>
      <c r="BX74" s="5">
        <v>7</v>
      </c>
      <c r="BY74">
        <v>0</v>
      </c>
      <c r="BZ74">
        <v>0</v>
      </c>
      <c r="CA74">
        <v>0</v>
      </c>
      <c r="CB74">
        <v>0</v>
      </c>
      <c r="CC74" s="5">
        <f>(BV74+BW74/2+BX74/8+BY74/16+BZ74/4+CA74/32)*39</f>
        <v>34.125</v>
      </c>
      <c r="CD74">
        <v>0</v>
      </c>
      <c r="CE74">
        <v>0</v>
      </c>
      <c r="CF74">
        <v>6</v>
      </c>
      <c r="CG74">
        <v>0</v>
      </c>
      <c r="CH74">
        <v>0</v>
      </c>
      <c r="CI74">
        <v>0</v>
      </c>
      <c r="CJ74">
        <v>0</v>
      </c>
      <c r="CK74">
        <v>0</v>
      </c>
      <c r="CL74" s="5">
        <f>(CD74+CE74/2+CF74/8+CG74/16+CH74/4+CJ74/32+CK74/16)*39</f>
        <v>29.25</v>
      </c>
      <c r="CM74">
        <v>0</v>
      </c>
      <c r="CN74">
        <v>0</v>
      </c>
      <c r="CO74">
        <v>0</v>
      </c>
      <c r="CP74">
        <v>0</v>
      </c>
      <c r="CQ74">
        <v>0</v>
      </c>
      <c r="CR74" t="s">
        <v>486</v>
      </c>
      <c r="CS74">
        <v>22</v>
      </c>
      <c r="CT74">
        <v>0</v>
      </c>
      <c r="CU74">
        <v>0</v>
      </c>
      <c r="CV74">
        <v>0</v>
      </c>
      <c r="CW74">
        <f>CS74+CT74/24+CU74/48+CV74/48</f>
        <v>22</v>
      </c>
      <c r="CX74">
        <v>0</v>
      </c>
      <c r="CY74" t="s">
        <v>248</v>
      </c>
      <c r="CZ74" t="s">
        <v>210</v>
      </c>
      <c r="DA74" t="s">
        <v>482</v>
      </c>
      <c r="DB74" t="s">
        <v>405</v>
      </c>
      <c r="DC74" t="s">
        <v>262</v>
      </c>
      <c r="DD74" t="s">
        <v>693</v>
      </c>
      <c r="DE74" t="s">
        <v>484</v>
      </c>
      <c r="DF74" t="s">
        <v>3975</v>
      </c>
      <c r="DG74" t="s">
        <v>3974</v>
      </c>
      <c r="DJ74" t="s">
        <v>483</v>
      </c>
    </row>
    <row r="75" spans="1:114" x14ac:dyDescent="0.25">
      <c r="A75">
        <v>351</v>
      </c>
      <c r="C75" t="s">
        <v>104</v>
      </c>
      <c r="D75" t="s">
        <v>395</v>
      </c>
      <c r="E75" t="s">
        <v>396</v>
      </c>
      <c r="H75" t="s">
        <v>397</v>
      </c>
      <c r="I75" t="s">
        <v>219</v>
      </c>
      <c r="J75">
        <v>1343</v>
      </c>
      <c r="K75" t="s">
        <v>249</v>
      </c>
      <c r="L75">
        <v>8</v>
      </c>
      <c r="M75" s="7" t="s">
        <v>338</v>
      </c>
      <c r="P75" t="s">
        <v>225</v>
      </c>
      <c r="Q75" t="s">
        <v>225</v>
      </c>
      <c r="R75" t="s">
        <v>225</v>
      </c>
      <c r="S75" t="s">
        <v>225</v>
      </c>
      <c r="T75" t="s">
        <v>225</v>
      </c>
      <c r="V75" t="s">
        <v>204</v>
      </c>
      <c r="W75" t="s">
        <v>225</v>
      </c>
      <c r="X75" t="s">
        <v>225</v>
      </c>
      <c r="Y75">
        <v>1</v>
      </c>
      <c r="Z75" t="s">
        <v>225</v>
      </c>
      <c r="AA75" t="s">
        <v>225</v>
      </c>
      <c r="AB75" t="s">
        <v>225</v>
      </c>
      <c r="AC75" t="s">
        <v>225</v>
      </c>
      <c r="AD75" t="s">
        <v>225</v>
      </c>
      <c r="AE75" t="s">
        <v>225</v>
      </c>
      <c r="AF75" t="s">
        <v>225</v>
      </c>
      <c r="AG75" t="s">
        <v>225</v>
      </c>
      <c r="AH75" t="s">
        <v>225</v>
      </c>
      <c r="AI75" t="s">
        <v>225</v>
      </c>
      <c r="AJ75" t="s">
        <v>225</v>
      </c>
      <c r="AK75" t="s">
        <v>225</v>
      </c>
      <c r="AL75" t="s">
        <v>225</v>
      </c>
      <c r="AM75" t="s">
        <v>225</v>
      </c>
      <c r="AN75" t="s">
        <v>225</v>
      </c>
      <c r="AO75" t="s">
        <v>225</v>
      </c>
      <c r="AP75" t="s">
        <v>225</v>
      </c>
      <c r="AQ75" t="s">
        <v>225</v>
      </c>
      <c r="AR75" t="s">
        <v>225</v>
      </c>
      <c r="AS75" t="s">
        <v>225</v>
      </c>
      <c r="AT75" t="s">
        <v>225</v>
      </c>
      <c r="AU75" t="s">
        <v>225</v>
      </c>
      <c r="AV75" t="s">
        <v>225</v>
      </c>
      <c r="AW75" t="s">
        <v>225</v>
      </c>
      <c r="AX75" t="s">
        <v>225</v>
      </c>
      <c r="AY75" t="s">
        <v>225</v>
      </c>
      <c r="AZ75" t="s">
        <v>225</v>
      </c>
      <c r="BA75" t="s">
        <v>225</v>
      </c>
      <c r="BB75" t="s">
        <v>225</v>
      </c>
      <c r="BC75" t="s">
        <v>225</v>
      </c>
      <c r="BD75" t="s">
        <v>225</v>
      </c>
      <c r="BE75" t="s">
        <v>225</v>
      </c>
      <c r="BF75" t="s">
        <v>225</v>
      </c>
      <c r="BG75" t="s">
        <v>225</v>
      </c>
      <c r="BH75" t="s">
        <v>225</v>
      </c>
      <c r="BI75" t="s">
        <v>225</v>
      </c>
      <c r="BJ75" t="s">
        <v>225</v>
      </c>
      <c r="BK75" t="s">
        <v>225</v>
      </c>
      <c r="BL75" t="s">
        <v>225</v>
      </c>
      <c r="BN75" t="s">
        <v>398</v>
      </c>
      <c r="BR75">
        <v>0</v>
      </c>
      <c r="BS75">
        <v>0</v>
      </c>
      <c r="BT75">
        <v>0</v>
      </c>
      <c r="BU75" s="5">
        <f>(BS75/8+BT75/4)*39</f>
        <v>0</v>
      </c>
      <c r="BV75">
        <v>0</v>
      </c>
      <c r="BW75">
        <v>0</v>
      </c>
      <c r="BX75">
        <v>0</v>
      </c>
      <c r="BY75">
        <v>0</v>
      </c>
      <c r="BZ75">
        <v>0</v>
      </c>
      <c r="CA75">
        <v>0</v>
      </c>
      <c r="CB75">
        <v>0</v>
      </c>
      <c r="CC75" s="5">
        <f>(BV75+BW75/2+BX75/8+BY75/16+BZ75/4+CA75/32)*39</f>
        <v>0</v>
      </c>
      <c r="CD75">
        <v>0</v>
      </c>
      <c r="CE75">
        <v>0</v>
      </c>
      <c r="CF75">
        <v>0</v>
      </c>
      <c r="CG75">
        <v>0</v>
      </c>
      <c r="CH75">
        <v>0</v>
      </c>
      <c r="CI75">
        <v>0</v>
      </c>
      <c r="CJ75">
        <v>0</v>
      </c>
      <c r="CK75">
        <v>0</v>
      </c>
      <c r="CL75" s="5">
        <f>(CD75+CE75/2+CF75/8+CG75/16+CH75/4+CJ75/32+CK75/16)*39</f>
        <v>0</v>
      </c>
      <c r="CM75">
        <v>0</v>
      </c>
      <c r="CN75">
        <v>0</v>
      </c>
      <c r="CO75">
        <v>0</v>
      </c>
      <c r="CP75">
        <v>0</v>
      </c>
      <c r="CQ75">
        <v>0</v>
      </c>
      <c r="CS75">
        <f>18/12</f>
        <v>1.5</v>
      </c>
      <c r="CT75" s="11">
        <v>0</v>
      </c>
      <c r="CU75" s="11">
        <v>0</v>
      </c>
      <c r="CV75">
        <v>0</v>
      </c>
      <c r="CW75">
        <f>CS75+CT75/24+CU75/48+CV75/48</f>
        <v>1.5</v>
      </c>
      <c r="CX75">
        <v>0</v>
      </c>
      <c r="CZ75" t="s">
        <v>210</v>
      </c>
      <c r="DA75" t="s">
        <v>481</v>
      </c>
      <c r="DB75" t="s">
        <v>405</v>
      </c>
      <c r="DC75" t="s">
        <v>402</v>
      </c>
      <c r="DD75" t="s">
        <v>693</v>
      </c>
      <c r="DE75" t="s">
        <v>403</v>
      </c>
      <c r="DF75" t="s">
        <v>404</v>
      </c>
    </row>
    <row r="76" spans="1:114" x14ac:dyDescent="0.25">
      <c r="A76">
        <v>1402</v>
      </c>
      <c r="C76" t="s">
        <v>3756</v>
      </c>
      <c r="D76" t="s">
        <v>2182</v>
      </c>
      <c r="E76" t="s">
        <v>2183</v>
      </c>
      <c r="G76" t="s">
        <v>2184</v>
      </c>
      <c r="I76" t="s">
        <v>219</v>
      </c>
      <c r="J76">
        <v>1342</v>
      </c>
      <c r="K76" t="s">
        <v>383</v>
      </c>
      <c r="L76">
        <v>23</v>
      </c>
      <c r="M76" s="8" t="s">
        <v>338</v>
      </c>
      <c r="N76" t="s">
        <v>2194</v>
      </c>
      <c r="W76" t="s">
        <v>225</v>
      </c>
      <c r="X76" t="s">
        <v>225</v>
      </c>
      <c r="Y76">
        <v>2</v>
      </c>
      <c r="Z76" t="s">
        <v>225</v>
      </c>
      <c r="AA76" t="s">
        <v>225</v>
      </c>
      <c r="AB76" t="s">
        <v>225</v>
      </c>
      <c r="AC76">
        <v>1</v>
      </c>
      <c r="AD76" t="s">
        <v>205</v>
      </c>
      <c r="AE76" t="s">
        <v>225</v>
      </c>
      <c r="AF76" t="s">
        <v>225</v>
      </c>
      <c r="AG76" t="s">
        <v>225</v>
      </c>
      <c r="AH76" t="s">
        <v>225</v>
      </c>
      <c r="AI76" t="s">
        <v>225</v>
      </c>
      <c r="AJ76" t="s">
        <v>225</v>
      </c>
      <c r="AK76" t="s">
        <v>225</v>
      </c>
      <c r="AL76" t="s">
        <v>225</v>
      </c>
      <c r="AM76" t="s">
        <v>225</v>
      </c>
      <c r="AN76" t="s">
        <v>225</v>
      </c>
      <c r="AO76" t="s">
        <v>225</v>
      </c>
      <c r="AP76" t="s">
        <v>225</v>
      </c>
      <c r="AQ76" t="s">
        <v>225</v>
      </c>
      <c r="AR76" t="s">
        <v>225</v>
      </c>
      <c r="AS76" t="s">
        <v>225</v>
      </c>
      <c r="AT76" t="s">
        <v>225</v>
      </c>
      <c r="AU76" t="s">
        <v>225</v>
      </c>
      <c r="AV76" t="s">
        <v>225</v>
      </c>
      <c r="AW76" t="s">
        <v>225</v>
      </c>
      <c r="AX76" t="s">
        <v>225</v>
      </c>
      <c r="AY76" t="s">
        <v>225</v>
      </c>
      <c r="AZ76" t="s">
        <v>225</v>
      </c>
      <c r="BA76" t="s">
        <v>225</v>
      </c>
      <c r="BB76" t="s">
        <v>225</v>
      </c>
      <c r="BC76" t="s">
        <v>225</v>
      </c>
      <c r="BD76" t="s">
        <v>225</v>
      </c>
      <c r="BE76" t="s">
        <v>225</v>
      </c>
      <c r="BF76" t="s">
        <v>225</v>
      </c>
      <c r="BG76" t="s">
        <v>225</v>
      </c>
      <c r="BH76" t="s">
        <v>225</v>
      </c>
      <c r="BI76" t="s">
        <v>225</v>
      </c>
      <c r="BJ76" t="s">
        <v>225</v>
      </c>
      <c r="BK76" t="s">
        <v>225</v>
      </c>
      <c r="BL76" t="s">
        <v>225</v>
      </c>
      <c r="BN76" s="5" t="s">
        <v>2197</v>
      </c>
      <c r="BR76" s="5">
        <v>0</v>
      </c>
      <c r="BS76" s="5">
        <v>0</v>
      </c>
      <c r="BT76" s="5">
        <v>0</v>
      </c>
      <c r="BU76" s="5">
        <f>(BS76/8+BT76/4)*39</f>
        <v>0</v>
      </c>
      <c r="BV76" s="5">
        <v>0</v>
      </c>
      <c r="BW76" s="5">
        <v>0</v>
      </c>
      <c r="BX76" s="5">
        <v>0</v>
      </c>
      <c r="BY76" s="5">
        <v>0</v>
      </c>
      <c r="BZ76" s="5">
        <v>0</v>
      </c>
      <c r="CA76" s="5">
        <v>0</v>
      </c>
      <c r="CB76" s="5">
        <v>0</v>
      </c>
      <c r="CC76" s="5">
        <f>(BV76+BW76/2+BX76/8+BY76/16+BZ76/4+CA76/32)*39</f>
        <v>0</v>
      </c>
      <c r="CD76" s="5">
        <v>0</v>
      </c>
      <c r="CE76" s="5">
        <v>0</v>
      </c>
      <c r="CF76" s="5">
        <v>0</v>
      </c>
      <c r="CG76" s="5">
        <v>0</v>
      </c>
      <c r="CH76" s="5">
        <v>0</v>
      </c>
      <c r="CI76" s="5">
        <v>0</v>
      </c>
      <c r="CJ76" s="5">
        <v>0</v>
      </c>
      <c r="CK76" s="5">
        <v>0</v>
      </c>
      <c r="CL76" s="5">
        <f>(CD76+CE76/2+CF76/8+CG76/16+CH76/4+CJ76/32+CK76/16)*39</f>
        <v>0</v>
      </c>
      <c r="CM76" s="5">
        <v>0</v>
      </c>
      <c r="CN76" s="5">
        <v>0</v>
      </c>
      <c r="CO76" s="5">
        <v>0</v>
      </c>
      <c r="CP76" s="5">
        <v>0</v>
      </c>
      <c r="CQ76" s="5">
        <v>0</v>
      </c>
      <c r="CR76" t="s">
        <v>2193</v>
      </c>
      <c r="CS76">
        <f>18/12+4+6/12</f>
        <v>6</v>
      </c>
      <c r="CT76">
        <v>0</v>
      </c>
      <c r="CU76">
        <v>0</v>
      </c>
      <c r="CV76">
        <v>0</v>
      </c>
      <c r="CW76">
        <f>CS76+CT76/24+CU76/48+CV76/48</f>
        <v>6</v>
      </c>
      <c r="CX76">
        <v>0</v>
      </c>
      <c r="CZ76" t="s">
        <v>210</v>
      </c>
      <c r="DA76" t="s">
        <v>2086</v>
      </c>
      <c r="DB76" t="s">
        <v>2185</v>
      </c>
      <c r="DC76" s="5" t="s">
        <v>2146</v>
      </c>
      <c r="DD76" t="s">
        <v>693</v>
      </c>
      <c r="DE76" t="s">
        <v>542</v>
      </c>
      <c r="DF76" t="s">
        <v>945</v>
      </c>
      <c r="DG76" t="s">
        <v>2195</v>
      </c>
      <c r="DH76" t="s">
        <v>2196</v>
      </c>
    </row>
    <row r="77" spans="1:114" x14ac:dyDescent="0.25">
      <c r="A77">
        <v>1351</v>
      </c>
      <c r="B77" t="s">
        <v>788</v>
      </c>
      <c r="C77" t="s">
        <v>465</v>
      </c>
      <c r="D77" t="s">
        <v>1633</v>
      </c>
      <c r="E77" t="s">
        <v>1915</v>
      </c>
      <c r="I77" t="s">
        <v>219</v>
      </c>
      <c r="J77">
        <v>1343</v>
      </c>
      <c r="K77" t="s">
        <v>383</v>
      </c>
      <c r="L77">
        <v>22</v>
      </c>
      <c r="M77" s="7" t="s">
        <v>338</v>
      </c>
      <c r="W77" t="s">
        <v>225</v>
      </c>
      <c r="X77" t="s">
        <v>225</v>
      </c>
      <c r="Y77" t="s">
        <v>225</v>
      </c>
      <c r="Z77" t="s">
        <v>225</v>
      </c>
      <c r="AA77">
        <v>1</v>
      </c>
      <c r="AB77" t="s">
        <v>225</v>
      </c>
      <c r="AC77" t="s">
        <v>225</v>
      </c>
      <c r="AD77" t="s">
        <v>225</v>
      </c>
      <c r="AE77" t="s">
        <v>225</v>
      </c>
      <c r="AF77" t="s">
        <v>225</v>
      </c>
      <c r="AG77" t="s">
        <v>225</v>
      </c>
      <c r="AH77" t="s">
        <v>225</v>
      </c>
      <c r="AI77" t="s">
        <v>225</v>
      </c>
      <c r="AJ77" t="s">
        <v>225</v>
      </c>
      <c r="AK77" t="s">
        <v>225</v>
      </c>
      <c r="AL77" t="s">
        <v>225</v>
      </c>
      <c r="AM77" t="s">
        <v>225</v>
      </c>
      <c r="AN77" t="s">
        <v>225</v>
      </c>
      <c r="AO77" t="s">
        <v>225</v>
      </c>
      <c r="AP77" t="s">
        <v>225</v>
      </c>
      <c r="AQ77" t="s">
        <v>225</v>
      </c>
      <c r="AR77" t="s">
        <v>225</v>
      </c>
      <c r="AS77" t="s">
        <v>225</v>
      </c>
      <c r="AT77" t="s">
        <v>225</v>
      </c>
      <c r="AU77" t="s">
        <v>225</v>
      </c>
      <c r="AV77" t="s">
        <v>225</v>
      </c>
      <c r="AW77" t="s">
        <v>225</v>
      </c>
      <c r="AX77" t="s">
        <v>225</v>
      </c>
      <c r="AY77" t="s">
        <v>225</v>
      </c>
      <c r="AZ77" t="s">
        <v>225</v>
      </c>
      <c r="BA77" t="s">
        <v>225</v>
      </c>
      <c r="BB77" t="s">
        <v>225</v>
      </c>
      <c r="BC77" t="s">
        <v>225</v>
      </c>
      <c r="BD77" t="s">
        <v>225</v>
      </c>
      <c r="BE77" t="s">
        <v>225</v>
      </c>
      <c r="BF77" t="s">
        <v>225</v>
      </c>
      <c r="BG77" t="s">
        <v>225</v>
      </c>
      <c r="BH77" t="s">
        <v>225</v>
      </c>
      <c r="BI77" t="s">
        <v>225</v>
      </c>
      <c r="BJ77" t="s">
        <v>225</v>
      </c>
      <c r="BK77" t="s">
        <v>225</v>
      </c>
      <c r="BL77" t="s">
        <v>225</v>
      </c>
      <c r="BM77" s="5" t="s">
        <v>1911</v>
      </c>
      <c r="BN77" s="5" t="s">
        <v>285</v>
      </c>
      <c r="BR77" s="5">
        <v>0</v>
      </c>
      <c r="BS77" s="5">
        <v>0</v>
      </c>
      <c r="BT77" s="5">
        <v>0</v>
      </c>
      <c r="BU77" s="5">
        <f>(BS77/8+BT77/4)*39</f>
        <v>0</v>
      </c>
      <c r="BV77" s="5">
        <v>0</v>
      </c>
      <c r="BW77" s="5">
        <v>0</v>
      </c>
      <c r="BX77" s="5">
        <v>0</v>
      </c>
      <c r="BY77" s="5">
        <v>0</v>
      </c>
      <c r="BZ77" s="5">
        <v>0</v>
      </c>
      <c r="CA77" s="5">
        <v>0</v>
      </c>
      <c r="CB77" s="5">
        <v>0</v>
      </c>
      <c r="CC77" s="5">
        <f>(BV77+BW77/2+BX77/8+BY77/16+BZ77/4+CA77/32)*39</f>
        <v>0</v>
      </c>
      <c r="CD77" s="5">
        <v>0</v>
      </c>
      <c r="CE77" s="5">
        <v>0</v>
      </c>
      <c r="CF77" s="5">
        <v>0</v>
      </c>
      <c r="CG77" s="5">
        <v>0</v>
      </c>
      <c r="CH77" s="5">
        <v>0</v>
      </c>
      <c r="CI77" s="5">
        <v>0</v>
      </c>
      <c r="CJ77" s="5">
        <v>0</v>
      </c>
      <c r="CK77" s="5">
        <v>0</v>
      </c>
      <c r="CL77" s="5">
        <f>(CD77+CE77/2+CF77/8+CG77/16+CH77/4+CJ77/32+CK77/16)*39</f>
        <v>0</v>
      </c>
      <c r="CM77" s="5">
        <v>0</v>
      </c>
      <c r="CN77" s="5">
        <v>0</v>
      </c>
      <c r="CO77" s="5">
        <v>0</v>
      </c>
      <c r="CP77" s="5">
        <v>0</v>
      </c>
      <c r="CQ77" s="5">
        <v>0</v>
      </c>
      <c r="CS77">
        <v>0</v>
      </c>
      <c r="CT77">
        <v>0</v>
      </c>
      <c r="CU77">
        <v>0</v>
      </c>
      <c r="CV77">
        <v>0</v>
      </c>
      <c r="CW77">
        <f>CS77+CT77/24+CU77/48+CV77/48</f>
        <v>0</v>
      </c>
      <c r="CX77">
        <v>0</v>
      </c>
      <c r="DC77" s="5" t="s">
        <v>1912</v>
      </c>
      <c r="DD77" t="s">
        <v>693</v>
      </c>
      <c r="DE77" s="5" t="s">
        <v>3970</v>
      </c>
      <c r="DF77" s="5" t="s">
        <v>3971</v>
      </c>
    </row>
    <row r="78" spans="1:114" x14ac:dyDescent="0.25">
      <c r="A78">
        <v>1871</v>
      </c>
      <c r="C78" t="s">
        <v>37</v>
      </c>
      <c r="D78" t="s">
        <v>3525</v>
      </c>
      <c r="E78" t="s">
        <v>3908</v>
      </c>
      <c r="F78" t="s">
        <v>3907</v>
      </c>
      <c r="I78" t="s">
        <v>220</v>
      </c>
      <c r="J78" s="5">
        <v>1345</v>
      </c>
      <c r="K78" t="s">
        <v>249</v>
      </c>
      <c r="L78">
        <v>7</v>
      </c>
      <c r="M78" s="8" t="s">
        <v>338</v>
      </c>
      <c r="N78" t="s">
        <v>358</v>
      </c>
      <c r="P78" t="s">
        <v>225</v>
      </c>
      <c r="Q78" t="s">
        <v>205</v>
      </c>
      <c r="R78" t="s">
        <v>205</v>
      </c>
      <c r="S78" t="s">
        <v>205</v>
      </c>
      <c r="T78" t="s">
        <v>225</v>
      </c>
      <c r="V78" t="s">
        <v>1463</v>
      </c>
      <c r="W78">
        <v>1</v>
      </c>
      <c r="X78" t="s">
        <v>225</v>
      </c>
      <c r="Y78" t="s">
        <v>225</v>
      </c>
      <c r="Z78" t="s">
        <v>225</v>
      </c>
      <c r="AA78" t="s">
        <v>225</v>
      </c>
      <c r="AB78" t="s">
        <v>225</v>
      </c>
      <c r="AC78" t="s">
        <v>225</v>
      </c>
      <c r="AD78" t="s">
        <v>225</v>
      </c>
      <c r="AE78" t="s">
        <v>225</v>
      </c>
      <c r="AF78" t="s">
        <v>225</v>
      </c>
      <c r="AG78" t="s">
        <v>225</v>
      </c>
      <c r="AH78" t="s">
        <v>225</v>
      </c>
      <c r="AI78" t="s">
        <v>225</v>
      </c>
      <c r="AJ78" t="s">
        <v>225</v>
      </c>
      <c r="AK78" t="s">
        <v>225</v>
      </c>
      <c r="AL78" t="s">
        <v>225</v>
      </c>
      <c r="AM78" t="s">
        <v>225</v>
      </c>
      <c r="AN78" t="s">
        <v>225</v>
      </c>
      <c r="AO78" t="s">
        <v>225</v>
      </c>
      <c r="AP78" t="s">
        <v>225</v>
      </c>
      <c r="AQ78" t="s">
        <v>225</v>
      </c>
      <c r="AR78" t="s">
        <v>225</v>
      </c>
      <c r="AS78" t="s">
        <v>225</v>
      </c>
      <c r="AT78" t="s">
        <v>225</v>
      </c>
      <c r="AU78" t="s">
        <v>225</v>
      </c>
      <c r="AV78" t="s">
        <v>225</v>
      </c>
      <c r="AW78" t="s">
        <v>225</v>
      </c>
      <c r="AX78" t="s">
        <v>225</v>
      </c>
      <c r="AY78" t="s">
        <v>225</v>
      </c>
      <c r="AZ78" t="s">
        <v>225</v>
      </c>
      <c r="BA78" t="s">
        <v>225</v>
      </c>
      <c r="BB78" t="s">
        <v>225</v>
      </c>
      <c r="BC78" t="s">
        <v>225</v>
      </c>
      <c r="BD78" t="s">
        <v>225</v>
      </c>
      <c r="BE78" t="s">
        <v>225</v>
      </c>
      <c r="BF78" t="s">
        <v>225</v>
      </c>
      <c r="BG78" t="s">
        <v>225</v>
      </c>
      <c r="BH78" t="s">
        <v>225</v>
      </c>
      <c r="BI78" t="s">
        <v>225</v>
      </c>
      <c r="BJ78" t="s">
        <v>225</v>
      </c>
      <c r="BK78" t="s">
        <v>225</v>
      </c>
      <c r="BL78" t="s">
        <v>205</v>
      </c>
      <c r="BN78" t="s">
        <v>389</v>
      </c>
      <c r="BO78" t="s">
        <v>3526</v>
      </c>
      <c r="BQ78" s="1" t="s">
        <v>929</v>
      </c>
      <c r="BR78" s="5">
        <v>0</v>
      </c>
      <c r="BS78" s="5">
        <v>0</v>
      </c>
      <c r="BT78" s="5">
        <v>0</v>
      </c>
      <c r="BU78" s="5">
        <f>(BS78/8+BT78/4)*39</f>
        <v>0</v>
      </c>
      <c r="BV78" s="5">
        <v>0</v>
      </c>
      <c r="BW78" s="5">
        <v>0</v>
      </c>
      <c r="BX78" s="5">
        <f>1+1/2</f>
        <v>1.5</v>
      </c>
      <c r="BY78" s="5">
        <f>1/2</f>
        <v>0.5</v>
      </c>
      <c r="BZ78" s="5">
        <v>0</v>
      </c>
      <c r="CA78" s="5">
        <v>0</v>
      </c>
      <c r="CB78" s="5">
        <v>0</v>
      </c>
      <c r="CC78" s="5">
        <f>(BV78+BW78/2+BX78/8+BY78/16+BZ78/4+CA78/32)*39</f>
        <v>8.53125</v>
      </c>
      <c r="CD78" s="5">
        <v>0</v>
      </c>
      <c r="CE78" s="5">
        <v>0</v>
      </c>
      <c r="CF78" s="5">
        <v>0</v>
      </c>
      <c r="CG78" s="5">
        <v>1</v>
      </c>
      <c r="CH78" s="5">
        <v>0</v>
      </c>
      <c r="CI78" s="5">
        <v>0</v>
      </c>
      <c r="CJ78" s="5">
        <v>0</v>
      </c>
      <c r="CK78" s="5">
        <v>0</v>
      </c>
      <c r="CL78" s="5">
        <f>(CD78+CE78/2+CF78/8+CG78/16+CH78/4+CJ78/32+CK78/16)*39</f>
        <v>2.4375</v>
      </c>
      <c r="CM78" s="5">
        <v>0</v>
      </c>
      <c r="CN78" s="5">
        <v>0</v>
      </c>
      <c r="CO78" s="5">
        <v>0</v>
      </c>
      <c r="CP78" s="5">
        <v>0</v>
      </c>
      <c r="CQ78" s="5">
        <v>0</v>
      </c>
      <c r="CS78">
        <f>3+7/12</f>
        <v>3.5833333333333335</v>
      </c>
      <c r="CT78">
        <v>1</v>
      </c>
      <c r="CU78">
        <v>0</v>
      </c>
      <c r="CV78">
        <v>0</v>
      </c>
      <c r="CW78">
        <f>CS78+CT78/24+CU78/48+CV78/48</f>
        <v>3.625</v>
      </c>
      <c r="CX78">
        <v>0</v>
      </c>
      <c r="CY78" t="s">
        <v>248</v>
      </c>
      <c r="CZ78" t="s">
        <v>210</v>
      </c>
      <c r="DC78" t="s">
        <v>3527</v>
      </c>
      <c r="DD78" t="s">
        <v>693</v>
      </c>
      <c r="DE78" t="s">
        <v>3528</v>
      </c>
      <c r="DF78" t="s">
        <v>3529</v>
      </c>
    </row>
    <row r="79" spans="1:114" x14ac:dyDescent="0.25">
      <c r="A79">
        <v>1661</v>
      </c>
      <c r="C79" t="s">
        <v>2952</v>
      </c>
      <c r="D79" t="s">
        <v>2954</v>
      </c>
      <c r="E79" t="s">
        <v>2940</v>
      </c>
      <c r="G79" t="s">
        <v>2953</v>
      </c>
      <c r="I79" t="s">
        <v>220</v>
      </c>
      <c r="J79" s="5">
        <v>1343</v>
      </c>
      <c r="K79" t="s">
        <v>249</v>
      </c>
      <c r="L79">
        <v>4</v>
      </c>
      <c r="M79" s="7" t="s">
        <v>338</v>
      </c>
      <c r="N79" t="s">
        <v>986</v>
      </c>
      <c r="V79" t="s">
        <v>1463</v>
      </c>
      <c r="W79" t="s">
        <v>225</v>
      </c>
      <c r="X79" t="s">
        <v>225</v>
      </c>
      <c r="Y79" t="s">
        <v>225</v>
      </c>
      <c r="Z79" t="s">
        <v>225</v>
      </c>
      <c r="AA79">
        <v>1</v>
      </c>
      <c r="AB79" t="s">
        <v>225</v>
      </c>
      <c r="AC79">
        <v>1</v>
      </c>
      <c r="AD79" t="s">
        <v>205</v>
      </c>
      <c r="AE79" t="s">
        <v>225</v>
      </c>
      <c r="AF79" t="s">
        <v>225</v>
      </c>
      <c r="AG79" t="s">
        <v>225</v>
      </c>
      <c r="AH79" t="s">
        <v>225</v>
      </c>
      <c r="AI79" t="s">
        <v>225</v>
      </c>
      <c r="AJ79" t="s">
        <v>225</v>
      </c>
      <c r="AK79" t="s">
        <v>225</v>
      </c>
      <c r="AL79" t="s">
        <v>225</v>
      </c>
      <c r="AM79" t="s">
        <v>225</v>
      </c>
      <c r="AN79" t="s">
        <v>225</v>
      </c>
      <c r="AO79" t="s">
        <v>225</v>
      </c>
      <c r="AP79">
        <v>1</v>
      </c>
      <c r="AQ79" t="s">
        <v>225</v>
      </c>
      <c r="AR79" t="s">
        <v>225</v>
      </c>
      <c r="AS79" t="s">
        <v>225</v>
      </c>
      <c r="AT79" t="s">
        <v>225</v>
      </c>
      <c r="AU79" t="s">
        <v>225</v>
      </c>
      <c r="AV79" t="s">
        <v>225</v>
      </c>
      <c r="AW79" t="s">
        <v>225</v>
      </c>
      <c r="AX79" t="s">
        <v>225</v>
      </c>
      <c r="AY79" t="s">
        <v>225</v>
      </c>
      <c r="AZ79" t="s">
        <v>225</v>
      </c>
      <c r="BA79" t="s">
        <v>225</v>
      </c>
      <c r="BB79" t="s">
        <v>225</v>
      </c>
      <c r="BC79" t="s">
        <v>225</v>
      </c>
      <c r="BD79" t="s">
        <v>225</v>
      </c>
      <c r="BE79" t="s">
        <v>225</v>
      </c>
      <c r="BF79" t="s">
        <v>225</v>
      </c>
      <c r="BG79" t="s">
        <v>225</v>
      </c>
      <c r="BH79" t="s">
        <v>225</v>
      </c>
      <c r="BI79" t="s">
        <v>225</v>
      </c>
      <c r="BJ79" t="s">
        <v>225</v>
      </c>
      <c r="BK79" t="s">
        <v>225</v>
      </c>
      <c r="BL79" t="s">
        <v>225</v>
      </c>
      <c r="BN79" t="s">
        <v>2967</v>
      </c>
      <c r="BQ79" t="s">
        <v>539</v>
      </c>
      <c r="BR79" s="5">
        <v>0</v>
      </c>
      <c r="BS79" s="5">
        <v>0</v>
      </c>
      <c r="BT79" s="5">
        <v>0</v>
      </c>
      <c r="BU79" s="5">
        <f>(BS79/8+BT79/4)*39</f>
        <v>0</v>
      </c>
      <c r="BV79" s="5">
        <v>0</v>
      </c>
      <c r="BW79" s="5">
        <v>1</v>
      </c>
      <c r="BX79" s="5">
        <v>0</v>
      </c>
      <c r="BY79" s="5">
        <v>0</v>
      </c>
      <c r="BZ79" s="5">
        <v>0</v>
      </c>
      <c r="CA79" s="5">
        <v>0</v>
      </c>
      <c r="CB79" s="5">
        <v>0</v>
      </c>
      <c r="CC79" s="5">
        <f>(BV79+BW79/2+BX79/8+BY79/16+BZ79/4+CA79/32)*39</f>
        <v>19.5</v>
      </c>
      <c r="CD79" s="5">
        <v>0</v>
      </c>
      <c r="CE79" s="5">
        <v>0</v>
      </c>
      <c r="CF79" s="5">
        <v>0</v>
      </c>
      <c r="CG79" s="5">
        <v>1</v>
      </c>
      <c r="CH79" s="5">
        <v>0</v>
      </c>
      <c r="CI79" s="5">
        <v>0</v>
      </c>
      <c r="CJ79" s="5">
        <f>1+1/5</f>
        <v>1.2</v>
      </c>
      <c r="CK79" s="5">
        <v>0</v>
      </c>
      <c r="CL79" s="5">
        <f>(CD79+CE79/2+CF79/8+CG79/16+CH79/4+CJ79/32+CK79/16)*39</f>
        <v>3.9000000000000004</v>
      </c>
      <c r="CM79" s="5">
        <v>0</v>
      </c>
      <c r="CN79" s="5">
        <v>0</v>
      </c>
      <c r="CO79" s="5">
        <v>0</v>
      </c>
      <c r="CP79" s="5">
        <v>0</v>
      </c>
      <c r="CQ79" s="5">
        <v>0</v>
      </c>
      <c r="CS79">
        <f>13/12</f>
        <v>1.0833333333333333</v>
      </c>
      <c r="CT79">
        <v>1</v>
      </c>
      <c r="CU79">
        <v>0</v>
      </c>
      <c r="CV79">
        <v>0</v>
      </c>
      <c r="CW79">
        <f>CS79+CT79/24+CU79/48+CV79/48</f>
        <v>1.125</v>
      </c>
      <c r="CX79">
        <v>0</v>
      </c>
      <c r="CZ79" t="s">
        <v>210</v>
      </c>
      <c r="DA79" t="s">
        <v>2968</v>
      </c>
      <c r="DB79" t="s">
        <v>2969</v>
      </c>
      <c r="DC79" t="s">
        <v>262</v>
      </c>
      <c r="DD79" t="s">
        <v>693</v>
      </c>
      <c r="DE79" t="s">
        <v>542</v>
      </c>
      <c r="DF79" t="s">
        <v>372</v>
      </c>
    </row>
    <row r="80" spans="1:114" x14ac:dyDescent="0.25">
      <c r="A80">
        <v>1671</v>
      </c>
      <c r="C80" t="s">
        <v>37</v>
      </c>
      <c r="D80" t="s">
        <v>2954</v>
      </c>
      <c r="E80" t="s">
        <v>2940</v>
      </c>
      <c r="G80" t="s">
        <v>2970</v>
      </c>
      <c r="I80" t="s">
        <v>220</v>
      </c>
      <c r="J80" s="5">
        <v>1343</v>
      </c>
      <c r="K80" t="s">
        <v>249</v>
      </c>
      <c r="L80">
        <v>4</v>
      </c>
      <c r="M80" s="7" t="s">
        <v>338</v>
      </c>
      <c r="N80" t="s">
        <v>986</v>
      </c>
      <c r="V80" t="s">
        <v>1463</v>
      </c>
      <c r="W80" t="s">
        <v>225</v>
      </c>
      <c r="X80" t="s">
        <v>225</v>
      </c>
      <c r="Y80" t="s">
        <v>205</v>
      </c>
      <c r="Z80" t="s">
        <v>225</v>
      </c>
      <c r="AA80">
        <v>2</v>
      </c>
      <c r="AB80" t="s">
        <v>225</v>
      </c>
      <c r="AC80">
        <v>1</v>
      </c>
      <c r="AD80" t="s">
        <v>205</v>
      </c>
      <c r="AE80" t="s">
        <v>225</v>
      </c>
      <c r="AF80" t="s">
        <v>225</v>
      </c>
      <c r="AG80" t="s">
        <v>225</v>
      </c>
      <c r="AH80" t="s">
        <v>225</v>
      </c>
      <c r="AI80" t="s">
        <v>225</v>
      </c>
      <c r="AJ80" t="s">
        <v>225</v>
      </c>
      <c r="AK80" t="s">
        <v>225</v>
      </c>
      <c r="AL80" t="s">
        <v>225</v>
      </c>
      <c r="AM80" t="s">
        <v>225</v>
      </c>
      <c r="AN80" t="s">
        <v>225</v>
      </c>
      <c r="AO80" t="s">
        <v>225</v>
      </c>
      <c r="AP80">
        <v>1</v>
      </c>
      <c r="AQ80" t="s">
        <v>225</v>
      </c>
      <c r="AR80" t="s">
        <v>225</v>
      </c>
      <c r="AS80" t="s">
        <v>225</v>
      </c>
      <c r="AT80" t="s">
        <v>225</v>
      </c>
      <c r="AU80" t="s">
        <v>225</v>
      </c>
      <c r="AV80" t="s">
        <v>225</v>
      </c>
      <c r="AW80" t="s">
        <v>225</v>
      </c>
      <c r="AX80" t="s">
        <v>225</v>
      </c>
      <c r="AY80" t="s">
        <v>225</v>
      </c>
      <c r="AZ80" t="s">
        <v>225</v>
      </c>
      <c r="BA80" t="s">
        <v>225</v>
      </c>
      <c r="BB80" t="s">
        <v>225</v>
      </c>
      <c r="BC80" t="s">
        <v>225</v>
      </c>
      <c r="BD80" t="s">
        <v>225</v>
      </c>
      <c r="BE80" t="s">
        <v>225</v>
      </c>
      <c r="BF80" t="s">
        <v>225</v>
      </c>
      <c r="BG80" t="s">
        <v>225</v>
      </c>
      <c r="BH80" t="s">
        <v>225</v>
      </c>
      <c r="BI80" t="s">
        <v>225</v>
      </c>
      <c r="BJ80" t="s">
        <v>225</v>
      </c>
      <c r="BK80" t="s">
        <v>225</v>
      </c>
      <c r="BL80" t="s">
        <v>225</v>
      </c>
      <c r="BN80" t="s">
        <v>2979</v>
      </c>
      <c r="BQ80" t="s">
        <v>539</v>
      </c>
      <c r="BR80" s="5">
        <v>0</v>
      </c>
      <c r="BS80" s="5">
        <v>0</v>
      </c>
      <c r="BT80" s="5">
        <v>0</v>
      </c>
      <c r="BU80" s="5">
        <f>(BS80/8+BT80/4)*39</f>
        <v>0</v>
      </c>
      <c r="BV80" s="5">
        <v>0</v>
      </c>
      <c r="BW80" s="5">
        <v>0</v>
      </c>
      <c r="BX80" s="5">
        <v>1</v>
      </c>
      <c r="BY80" s="5">
        <v>0</v>
      </c>
      <c r="BZ80" s="5">
        <v>0</v>
      </c>
      <c r="CA80" s="5">
        <v>0</v>
      </c>
      <c r="CB80" s="5">
        <v>0</v>
      </c>
      <c r="CC80" s="5">
        <f>(BV80+BW80/2+BX80/8+BY80/16+BZ80/4+CA80/32)*39</f>
        <v>4.875</v>
      </c>
      <c r="CD80" s="5">
        <v>0</v>
      </c>
      <c r="CE80" s="5">
        <v>0</v>
      </c>
      <c r="CF80" s="5">
        <v>0</v>
      </c>
      <c r="CG80" s="5">
        <v>0</v>
      </c>
      <c r="CH80" s="5">
        <v>0</v>
      </c>
      <c r="CI80" s="5">
        <v>0</v>
      </c>
      <c r="CJ80" s="5">
        <f>5+1/5</f>
        <v>5.2</v>
      </c>
      <c r="CK80" s="5">
        <v>0</v>
      </c>
      <c r="CL80" s="5">
        <f>(CD80+CE80/2+CF80/8+CG80/16+CH80/4+CJ80/32+CK80/16)*39</f>
        <v>6.3375000000000004</v>
      </c>
      <c r="CM80" s="5">
        <v>0</v>
      </c>
      <c r="CN80" s="5">
        <v>0</v>
      </c>
      <c r="CO80" s="5">
        <v>0</v>
      </c>
      <c r="CP80" s="5">
        <v>0</v>
      </c>
      <c r="CQ80" s="5">
        <v>0</v>
      </c>
      <c r="CS80">
        <f>13/12</f>
        <v>1.0833333333333333</v>
      </c>
      <c r="CT80">
        <v>1</v>
      </c>
      <c r="CU80">
        <v>0</v>
      </c>
      <c r="CV80">
        <v>0</v>
      </c>
      <c r="CW80">
        <f>CS80+CT80/24+CU80/48+CV80/48</f>
        <v>1.125</v>
      </c>
      <c r="CX80">
        <v>0</v>
      </c>
      <c r="CZ80" t="s">
        <v>210</v>
      </c>
      <c r="DA80" t="s">
        <v>1733</v>
      </c>
      <c r="DB80" t="s">
        <v>2980</v>
      </c>
      <c r="DC80" t="s">
        <v>262</v>
      </c>
      <c r="DD80" t="s">
        <v>693</v>
      </c>
      <c r="DE80" t="s">
        <v>542</v>
      </c>
      <c r="DF80" t="s">
        <v>372</v>
      </c>
    </row>
    <row r="81" spans="1:111" x14ac:dyDescent="0.25">
      <c r="A81">
        <v>1623</v>
      </c>
      <c r="C81" t="s">
        <v>2114</v>
      </c>
      <c r="D81" t="s">
        <v>141</v>
      </c>
      <c r="E81" t="s">
        <v>2830</v>
      </c>
      <c r="I81" t="s">
        <v>219</v>
      </c>
      <c r="J81" s="5">
        <v>1343</v>
      </c>
      <c r="K81" t="s">
        <v>249</v>
      </c>
      <c r="L81">
        <v>4</v>
      </c>
      <c r="M81" s="7" t="s">
        <v>338</v>
      </c>
      <c r="N81" s="8" t="s">
        <v>1691</v>
      </c>
      <c r="W81" t="s">
        <v>225</v>
      </c>
      <c r="X81" t="s">
        <v>225</v>
      </c>
      <c r="Y81" t="s">
        <v>225</v>
      </c>
      <c r="Z81" t="s">
        <v>225</v>
      </c>
      <c r="AA81" t="s">
        <v>225</v>
      </c>
      <c r="AB81" t="s">
        <v>225</v>
      </c>
      <c r="AC81" t="s">
        <v>225</v>
      </c>
      <c r="AD81" t="s">
        <v>205</v>
      </c>
      <c r="AE81" t="s">
        <v>225</v>
      </c>
      <c r="AF81" t="s">
        <v>225</v>
      </c>
      <c r="AG81" t="s">
        <v>225</v>
      </c>
      <c r="AH81" t="s">
        <v>225</v>
      </c>
      <c r="AI81" t="s">
        <v>225</v>
      </c>
      <c r="AJ81" t="s">
        <v>225</v>
      </c>
      <c r="AK81" t="s">
        <v>225</v>
      </c>
      <c r="AL81" t="s">
        <v>225</v>
      </c>
      <c r="AM81" t="s">
        <v>225</v>
      </c>
      <c r="AN81" t="s">
        <v>225</v>
      </c>
      <c r="AO81" t="s">
        <v>225</v>
      </c>
      <c r="AP81" t="s">
        <v>225</v>
      </c>
      <c r="AQ81" t="s">
        <v>225</v>
      </c>
      <c r="AR81" t="s">
        <v>225</v>
      </c>
      <c r="AS81" t="s">
        <v>225</v>
      </c>
      <c r="AT81" t="s">
        <v>225</v>
      </c>
      <c r="AU81" t="s">
        <v>225</v>
      </c>
      <c r="AV81" t="s">
        <v>225</v>
      </c>
      <c r="AW81" t="s">
        <v>225</v>
      </c>
      <c r="AX81" t="s">
        <v>225</v>
      </c>
      <c r="AY81" t="s">
        <v>225</v>
      </c>
      <c r="AZ81" t="s">
        <v>225</v>
      </c>
      <c r="BA81" t="s">
        <v>225</v>
      </c>
      <c r="BB81" t="s">
        <v>225</v>
      </c>
      <c r="BC81" t="s">
        <v>225</v>
      </c>
      <c r="BD81" t="s">
        <v>225</v>
      </c>
      <c r="BE81" t="s">
        <v>225</v>
      </c>
      <c r="BF81" t="s">
        <v>225</v>
      </c>
      <c r="BG81" t="s">
        <v>225</v>
      </c>
      <c r="BH81" t="s">
        <v>225</v>
      </c>
      <c r="BI81" t="s">
        <v>225</v>
      </c>
      <c r="BJ81" t="s">
        <v>225</v>
      </c>
      <c r="BK81" t="s">
        <v>225</v>
      </c>
      <c r="BL81" t="s">
        <v>225</v>
      </c>
      <c r="BN81" t="s">
        <v>791</v>
      </c>
      <c r="BR81" s="5">
        <v>0</v>
      </c>
      <c r="BS81" s="5">
        <v>0</v>
      </c>
      <c r="BT81" s="5">
        <v>0</v>
      </c>
      <c r="BU81" s="5">
        <f>(BS81/8+BT81/4)*39</f>
        <v>0</v>
      </c>
      <c r="BV81" s="5">
        <v>0</v>
      </c>
      <c r="BW81" s="5">
        <v>0</v>
      </c>
      <c r="BX81" s="5">
        <v>0</v>
      </c>
      <c r="BY81" s="5">
        <v>0</v>
      </c>
      <c r="BZ81" s="5">
        <v>0</v>
      </c>
      <c r="CA81" s="5">
        <v>0</v>
      </c>
      <c r="CB81" s="5">
        <v>0</v>
      </c>
      <c r="CC81" s="5">
        <f>(BV81+BW81/2+BX81/8+BY81/16+BZ81/4+CA81/32)*39</f>
        <v>0</v>
      </c>
      <c r="CD81" s="5">
        <v>0</v>
      </c>
      <c r="CE81" s="5">
        <v>0</v>
      </c>
      <c r="CF81" s="5">
        <v>0</v>
      </c>
      <c r="CG81" s="5">
        <v>0</v>
      </c>
      <c r="CH81" s="5">
        <v>0</v>
      </c>
      <c r="CI81" s="5">
        <v>0</v>
      </c>
      <c r="CJ81" s="5">
        <v>0</v>
      </c>
      <c r="CK81" s="5">
        <v>0</v>
      </c>
      <c r="CL81" s="5">
        <f>(CD81+CE81/2+CF81/8+CG81/16+CH81/4+CJ81/32+CK81/16)*39</f>
        <v>0</v>
      </c>
      <c r="CM81" s="5">
        <v>0</v>
      </c>
      <c r="CN81" s="5">
        <v>0</v>
      </c>
      <c r="CO81" s="5">
        <v>0</v>
      </c>
      <c r="CP81" s="5">
        <v>0</v>
      </c>
      <c r="CQ81" s="5">
        <v>0</v>
      </c>
      <c r="CS81">
        <f>2/12</f>
        <v>0.16666666666666666</v>
      </c>
      <c r="CT81">
        <v>0</v>
      </c>
      <c r="CU81">
        <v>0</v>
      </c>
      <c r="CV81">
        <v>0</v>
      </c>
      <c r="CW81">
        <f>CS81+CT81/24+CU81/48+CV81/48</f>
        <v>0.16666666666666666</v>
      </c>
      <c r="CX81">
        <v>0</v>
      </c>
      <c r="CZ81" t="s">
        <v>210</v>
      </c>
      <c r="DC81" t="s">
        <v>262</v>
      </c>
      <c r="DD81" t="s">
        <v>693</v>
      </c>
      <c r="DE81" t="s">
        <v>2870</v>
      </c>
      <c r="DF81" t="s">
        <v>2871</v>
      </c>
    </row>
    <row r="82" spans="1:111" x14ac:dyDescent="0.25">
      <c r="A82">
        <v>1691</v>
      </c>
      <c r="C82" t="s">
        <v>2998</v>
      </c>
      <c r="D82" t="s">
        <v>141</v>
      </c>
      <c r="E82" t="s">
        <v>2940</v>
      </c>
      <c r="G82" t="s">
        <v>2999</v>
      </c>
      <c r="I82" t="s">
        <v>220</v>
      </c>
      <c r="J82" s="5">
        <v>1343</v>
      </c>
      <c r="K82" t="s">
        <v>249</v>
      </c>
      <c r="L82">
        <v>16</v>
      </c>
      <c r="M82" s="7" t="s">
        <v>338</v>
      </c>
      <c r="N82" t="s">
        <v>986</v>
      </c>
      <c r="V82" t="s">
        <v>1463</v>
      </c>
      <c r="W82" t="s">
        <v>225</v>
      </c>
      <c r="X82" t="s">
        <v>225</v>
      </c>
      <c r="Y82">
        <v>1</v>
      </c>
      <c r="Z82" t="s">
        <v>225</v>
      </c>
      <c r="AA82" t="s">
        <v>225</v>
      </c>
      <c r="AB82" t="s">
        <v>225</v>
      </c>
      <c r="AC82" t="s">
        <v>225</v>
      </c>
      <c r="AD82" t="s">
        <v>205</v>
      </c>
      <c r="AE82" t="s">
        <v>225</v>
      </c>
      <c r="AF82" t="s">
        <v>225</v>
      </c>
      <c r="AG82" t="s">
        <v>225</v>
      </c>
      <c r="AH82" t="s">
        <v>225</v>
      </c>
      <c r="AI82" t="s">
        <v>225</v>
      </c>
      <c r="AJ82" t="s">
        <v>225</v>
      </c>
      <c r="AK82" t="s">
        <v>225</v>
      </c>
      <c r="AL82" t="s">
        <v>225</v>
      </c>
      <c r="AM82" t="s">
        <v>225</v>
      </c>
      <c r="AN82" t="s">
        <v>225</v>
      </c>
      <c r="AO82" t="s">
        <v>225</v>
      </c>
      <c r="AP82" t="s">
        <v>225</v>
      </c>
      <c r="AQ82" t="s">
        <v>225</v>
      </c>
      <c r="AR82" t="s">
        <v>225</v>
      </c>
      <c r="AS82" t="s">
        <v>225</v>
      </c>
      <c r="AT82" t="s">
        <v>225</v>
      </c>
      <c r="AU82" t="s">
        <v>225</v>
      </c>
      <c r="AV82" t="s">
        <v>225</v>
      </c>
      <c r="AW82" t="s">
        <v>225</v>
      </c>
      <c r="AX82" t="s">
        <v>225</v>
      </c>
      <c r="AY82" t="s">
        <v>225</v>
      </c>
      <c r="AZ82" t="s">
        <v>225</v>
      </c>
      <c r="BA82" t="s">
        <v>225</v>
      </c>
      <c r="BB82" t="s">
        <v>225</v>
      </c>
      <c r="BC82" t="s">
        <v>225</v>
      </c>
      <c r="BD82" t="s">
        <v>225</v>
      </c>
      <c r="BE82" t="s">
        <v>225</v>
      </c>
      <c r="BF82" t="s">
        <v>225</v>
      </c>
      <c r="BG82">
        <v>1</v>
      </c>
      <c r="BH82" t="s">
        <v>225</v>
      </c>
      <c r="BI82" t="s">
        <v>225</v>
      </c>
      <c r="BJ82" t="s">
        <v>225</v>
      </c>
      <c r="BK82" t="s">
        <v>225</v>
      </c>
      <c r="BL82" t="s">
        <v>225</v>
      </c>
      <c r="BN82" t="s">
        <v>3017</v>
      </c>
      <c r="BQ82" t="s">
        <v>539</v>
      </c>
      <c r="BR82" s="5">
        <v>0</v>
      </c>
      <c r="BS82" s="5">
        <v>0</v>
      </c>
      <c r="BT82" s="5">
        <v>0</v>
      </c>
      <c r="BU82" s="5">
        <f>(BS82/8+BT82/4)*39</f>
        <v>0</v>
      </c>
      <c r="BV82" s="5">
        <v>0</v>
      </c>
      <c r="BW82" s="5">
        <v>0</v>
      </c>
      <c r="BX82" s="5">
        <v>1</v>
      </c>
      <c r="BY82" s="5">
        <v>0</v>
      </c>
      <c r="BZ82" s="5">
        <v>0</v>
      </c>
      <c r="CA82" s="5">
        <v>0</v>
      </c>
      <c r="CB82" s="5">
        <v>0</v>
      </c>
      <c r="CC82" s="5">
        <f>(BV82+BW82/2+BX82/8+BY82/16+BZ82/4+CA82/32)*39</f>
        <v>4.875</v>
      </c>
      <c r="CD82" s="5">
        <v>0</v>
      </c>
      <c r="CE82" s="5">
        <v>0</v>
      </c>
      <c r="CF82" s="5">
        <v>0</v>
      </c>
      <c r="CG82" s="5">
        <v>1</v>
      </c>
      <c r="CH82" s="5">
        <v>0</v>
      </c>
      <c r="CI82" s="5">
        <v>0</v>
      </c>
      <c r="CJ82" s="5">
        <f>1+1/5</f>
        <v>1.2</v>
      </c>
      <c r="CK82" s="5">
        <v>0</v>
      </c>
      <c r="CL82" s="5">
        <f>(CD82+CE82/2+CF82/8+CG82/16+CH82/4+CJ82/32+CK82/16)*39</f>
        <v>3.9000000000000004</v>
      </c>
      <c r="CM82" s="5">
        <v>0</v>
      </c>
      <c r="CN82" s="5">
        <v>0</v>
      </c>
      <c r="CO82" s="5">
        <v>0</v>
      </c>
      <c r="CP82" s="5">
        <v>0</v>
      </c>
      <c r="CQ82" s="5">
        <v>0</v>
      </c>
      <c r="CS82">
        <f>13/12</f>
        <v>1.0833333333333333</v>
      </c>
      <c r="CT82">
        <v>1</v>
      </c>
      <c r="CU82">
        <v>0</v>
      </c>
      <c r="CV82">
        <v>0</v>
      </c>
      <c r="CW82">
        <f>CS82+CT82/24+CU82/48+CV82/48</f>
        <v>1.125</v>
      </c>
      <c r="CX82">
        <v>0</v>
      </c>
      <c r="CZ82" t="s">
        <v>210</v>
      </c>
      <c r="DA82" t="s">
        <v>1733</v>
      </c>
      <c r="DB82" t="s">
        <v>3018</v>
      </c>
      <c r="DC82" t="s">
        <v>3019</v>
      </c>
      <c r="DD82" t="s">
        <v>693</v>
      </c>
      <c r="DE82" t="s">
        <v>573</v>
      </c>
      <c r="DF82" t="s">
        <v>1048</v>
      </c>
      <c r="DG82" t="s">
        <v>3020</v>
      </c>
    </row>
    <row r="83" spans="1:111" x14ac:dyDescent="0.25">
      <c r="A83">
        <v>1621</v>
      </c>
      <c r="C83" t="s">
        <v>2878</v>
      </c>
      <c r="D83" t="s">
        <v>2880</v>
      </c>
      <c r="E83" t="s">
        <v>2830</v>
      </c>
      <c r="G83" t="s">
        <v>3961</v>
      </c>
      <c r="I83" t="s">
        <v>3219</v>
      </c>
      <c r="J83" s="5">
        <v>1343</v>
      </c>
      <c r="K83" t="s">
        <v>249</v>
      </c>
      <c r="L83">
        <v>4</v>
      </c>
      <c r="M83" s="7" t="s">
        <v>338</v>
      </c>
      <c r="N83" s="8" t="s">
        <v>2860</v>
      </c>
      <c r="V83" t="s">
        <v>1463</v>
      </c>
      <c r="W83" t="s">
        <v>225</v>
      </c>
      <c r="X83" t="s">
        <v>225</v>
      </c>
      <c r="Y83">
        <f>1/2</f>
        <v>0.5</v>
      </c>
      <c r="Z83" t="s">
        <v>225</v>
      </c>
      <c r="AA83" t="s">
        <v>205</v>
      </c>
      <c r="AB83" t="s">
        <v>225</v>
      </c>
      <c r="AC83">
        <v>1</v>
      </c>
      <c r="AD83" t="s">
        <v>225</v>
      </c>
      <c r="AE83" t="s">
        <v>225</v>
      </c>
      <c r="AF83" t="s">
        <v>225</v>
      </c>
      <c r="AG83" t="s">
        <v>225</v>
      </c>
      <c r="AH83" t="s">
        <v>225</v>
      </c>
      <c r="AI83" t="s">
        <v>225</v>
      </c>
      <c r="AJ83" t="s">
        <v>225</v>
      </c>
      <c r="AK83" t="s">
        <v>225</v>
      </c>
      <c r="AL83" t="s">
        <v>225</v>
      </c>
      <c r="AM83" t="s">
        <v>225</v>
      </c>
      <c r="AN83" t="s">
        <v>225</v>
      </c>
      <c r="AO83" t="s">
        <v>225</v>
      </c>
      <c r="AP83" t="s">
        <v>225</v>
      </c>
      <c r="AQ83" t="s">
        <v>225</v>
      </c>
      <c r="AR83" t="s">
        <v>225</v>
      </c>
      <c r="AS83" t="s">
        <v>225</v>
      </c>
      <c r="AT83" t="s">
        <v>225</v>
      </c>
      <c r="AU83" t="s">
        <v>225</v>
      </c>
      <c r="AV83" t="s">
        <v>225</v>
      </c>
      <c r="AW83" t="s">
        <v>225</v>
      </c>
      <c r="AX83" t="s">
        <v>225</v>
      </c>
      <c r="AY83" t="s">
        <v>225</v>
      </c>
      <c r="AZ83" t="s">
        <v>225</v>
      </c>
      <c r="BA83" t="s">
        <v>225</v>
      </c>
      <c r="BB83" t="s">
        <v>225</v>
      </c>
      <c r="BC83" t="s">
        <v>225</v>
      </c>
      <c r="BD83" t="s">
        <v>225</v>
      </c>
      <c r="BE83" t="s">
        <v>225</v>
      </c>
      <c r="BF83" t="s">
        <v>225</v>
      </c>
      <c r="BG83" t="s">
        <v>225</v>
      </c>
      <c r="BH83" t="s">
        <v>225</v>
      </c>
      <c r="BI83" t="s">
        <v>225</v>
      </c>
      <c r="BJ83" t="s">
        <v>225</v>
      </c>
      <c r="BK83" t="s">
        <v>225</v>
      </c>
      <c r="BL83" t="s">
        <v>225</v>
      </c>
      <c r="BN83" t="s">
        <v>2868</v>
      </c>
      <c r="BR83" s="5">
        <v>0</v>
      </c>
      <c r="BS83" s="5">
        <v>0</v>
      </c>
      <c r="BT83" s="5">
        <v>0</v>
      </c>
      <c r="BU83" s="5">
        <f>(BS83/8+BT83/4)*39</f>
        <v>0</v>
      </c>
      <c r="BV83" s="5">
        <v>0</v>
      </c>
      <c r="BW83" s="5">
        <v>0</v>
      </c>
      <c r="BX83" s="5">
        <v>0</v>
      </c>
      <c r="BY83" s="5">
        <v>0</v>
      </c>
      <c r="BZ83" s="5">
        <v>0</v>
      </c>
      <c r="CA83" s="5">
        <v>0</v>
      </c>
      <c r="CB83" s="5">
        <v>0</v>
      </c>
      <c r="CC83" s="5">
        <f>(BV83+BW83/2+BX83/8+BY83/16+BZ83/4+CA83/32)*39</f>
        <v>0</v>
      </c>
      <c r="CD83" s="5">
        <v>0</v>
      </c>
      <c r="CE83" s="5">
        <v>0</v>
      </c>
      <c r="CF83" s="5">
        <v>0</v>
      </c>
      <c r="CG83" s="5">
        <v>0</v>
      </c>
      <c r="CH83" s="5">
        <v>0</v>
      </c>
      <c r="CI83" s="5">
        <v>0</v>
      </c>
      <c r="CJ83" s="5">
        <v>0</v>
      </c>
      <c r="CK83" s="5">
        <v>0</v>
      </c>
      <c r="CL83" s="5">
        <f>(CD83+CE83/2+CF83/8+CG83/16+CH83/4+CJ83/32+CK83/16)*39</f>
        <v>0</v>
      </c>
      <c r="CM83" s="5">
        <v>0</v>
      </c>
      <c r="CN83" s="5">
        <v>0</v>
      </c>
      <c r="CO83" s="5">
        <v>0</v>
      </c>
      <c r="CP83" s="5">
        <v>0</v>
      </c>
      <c r="CQ83" s="5">
        <v>0</v>
      </c>
      <c r="CS83">
        <f>10/12</f>
        <v>0.83333333333333337</v>
      </c>
      <c r="CT83">
        <v>0</v>
      </c>
      <c r="CU83">
        <v>0</v>
      </c>
      <c r="CV83">
        <v>0</v>
      </c>
      <c r="CW83">
        <f>CS83+CT83/24+CU83/48+CV83/48</f>
        <v>0.83333333333333337</v>
      </c>
      <c r="CX83">
        <v>0</v>
      </c>
      <c r="CY83" t="s">
        <v>248</v>
      </c>
      <c r="CZ83" t="s">
        <v>210</v>
      </c>
      <c r="DA83" t="s">
        <v>1733</v>
      </c>
      <c r="DB83" t="s">
        <v>2869</v>
      </c>
      <c r="DC83" t="s">
        <v>262</v>
      </c>
      <c r="DD83" t="s">
        <v>693</v>
      </c>
      <c r="DE83" t="s">
        <v>2870</v>
      </c>
      <c r="DF83" t="s">
        <v>2871</v>
      </c>
    </row>
    <row r="84" spans="1:111" x14ac:dyDescent="0.25">
      <c r="A84">
        <v>331</v>
      </c>
      <c r="C84" t="s">
        <v>375</v>
      </c>
      <c r="D84" t="s">
        <v>376</v>
      </c>
      <c r="E84" t="s">
        <v>378</v>
      </c>
      <c r="I84" t="s">
        <v>3219</v>
      </c>
      <c r="J84">
        <v>1343</v>
      </c>
      <c r="K84" t="s">
        <v>249</v>
      </c>
      <c r="L84">
        <v>2</v>
      </c>
      <c r="M84" s="7" t="s">
        <v>338</v>
      </c>
      <c r="N84" t="s">
        <v>236</v>
      </c>
      <c r="O84" t="s">
        <v>201</v>
      </c>
      <c r="P84" t="s">
        <v>225</v>
      </c>
      <c r="Q84" t="s">
        <v>205</v>
      </c>
      <c r="R84" t="s">
        <v>205</v>
      </c>
      <c r="S84" t="s">
        <v>205</v>
      </c>
      <c r="T84" t="s">
        <v>225</v>
      </c>
      <c r="U84" t="s">
        <v>278</v>
      </c>
      <c r="V84" t="s">
        <v>204</v>
      </c>
      <c r="W84" t="s">
        <v>205</v>
      </c>
      <c r="X84" t="s">
        <v>205</v>
      </c>
      <c r="Y84" t="s">
        <v>205</v>
      </c>
      <c r="Z84" t="s">
        <v>205</v>
      </c>
      <c r="AA84" t="s">
        <v>205</v>
      </c>
      <c r="AB84" t="s">
        <v>205</v>
      </c>
      <c r="AC84" t="s">
        <v>205</v>
      </c>
      <c r="AD84" t="s">
        <v>225</v>
      </c>
      <c r="AE84" t="s">
        <v>205</v>
      </c>
      <c r="AF84" t="s">
        <v>205</v>
      </c>
      <c r="AG84" t="s">
        <v>205</v>
      </c>
      <c r="AH84" t="s">
        <v>225</v>
      </c>
      <c r="AI84" t="s">
        <v>225</v>
      </c>
      <c r="AJ84" t="s">
        <v>225</v>
      </c>
      <c r="AK84">
        <v>1</v>
      </c>
      <c r="AL84" t="s">
        <v>225</v>
      </c>
      <c r="AM84" t="s">
        <v>225</v>
      </c>
      <c r="AN84" t="s">
        <v>225</v>
      </c>
      <c r="AO84" t="s">
        <v>225</v>
      </c>
      <c r="AP84" t="s">
        <v>225</v>
      </c>
      <c r="AQ84" t="s">
        <v>225</v>
      </c>
      <c r="AR84" t="s">
        <v>225</v>
      </c>
      <c r="AS84" t="s">
        <v>225</v>
      </c>
      <c r="AT84" t="s">
        <v>225</v>
      </c>
      <c r="AU84" t="s">
        <v>225</v>
      </c>
      <c r="AV84" t="s">
        <v>225</v>
      </c>
      <c r="AW84" t="s">
        <v>225</v>
      </c>
      <c r="AX84" t="s">
        <v>225</v>
      </c>
      <c r="AY84" t="s">
        <v>225</v>
      </c>
      <c r="AZ84" t="s">
        <v>225</v>
      </c>
      <c r="BA84" t="s">
        <v>225</v>
      </c>
      <c r="BB84" t="s">
        <v>225</v>
      </c>
      <c r="BC84" t="s">
        <v>225</v>
      </c>
      <c r="BD84" t="s">
        <v>225</v>
      </c>
      <c r="BE84" t="s">
        <v>225</v>
      </c>
      <c r="BF84" t="s">
        <v>225</v>
      </c>
      <c r="BG84" t="s">
        <v>225</v>
      </c>
      <c r="BH84" t="s">
        <v>225</v>
      </c>
      <c r="BI84" t="s">
        <v>225</v>
      </c>
      <c r="BJ84" t="s">
        <v>225</v>
      </c>
      <c r="BK84" t="s">
        <v>225</v>
      </c>
      <c r="BL84" t="s">
        <v>225</v>
      </c>
      <c r="BN84" t="s">
        <v>381</v>
      </c>
      <c r="BO84" t="s">
        <v>378</v>
      </c>
      <c r="BQ84" t="s">
        <v>3563</v>
      </c>
      <c r="BR84">
        <v>2</v>
      </c>
      <c r="BS84">
        <v>0</v>
      </c>
      <c r="BT84">
        <v>0</v>
      </c>
      <c r="BU84" s="5">
        <f>(BS84/8+BT84/4)*39</f>
        <v>0</v>
      </c>
      <c r="BV84">
        <v>1</v>
      </c>
      <c r="BW84">
        <v>0</v>
      </c>
      <c r="BX84">
        <v>1</v>
      </c>
      <c r="BY84">
        <v>0</v>
      </c>
      <c r="BZ84">
        <v>0</v>
      </c>
      <c r="CA84">
        <v>0</v>
      </c>
      <c r="CB84">
        <v>0</v>
      </c>
      <c r="CC84" s="5">
        <f>(BV84+BW84/2+BX84/8+BY84/16+BZ84/4+CA84/32)*39</f>
        <v>43.875</v>
      </c>
      <c r="CD84">
        <v>0</v>
      </c>
      <c r="CE84">
        <v>1</v>
      </c>
      <c r="CF84">
        <v>0</v>
      </c>
      <c r="CG84">
        <v>0</v>
      </c>
      <c r="CH84">
        <v>0</v>
      </c>
      <c r="CI84">
        <v>0</v>
      </c>
      <c r="CJ84">
        <v>0</v>
      </c>
      <c r="CK84">
        <v>0</v>
      </c>
      <c r="CL84" s="5">
        <f>(CD84+CE84/2+CF84/8+CG84/16+CH84/4+CJ84/32+CK84/16)*39</f>
        <v>19.5</v>
      </c>
      <c r="CM84">
        <v>0</v>
      </c>
      <c r="CN84">
        <v>0</v>
      </c>
      <c r="CO84">
        <v>0</v>
      </c>
      <c r="CP84">
        <v>0</v>
      </c>
      <c r="CQ84">
        <v>0</v>
      </c>
      <c r="CR84" t="s">
        <v>300</v>
      </c>
      <c r="CS84">
        <v>10</v>
      </c>
      <c r="CT84" s="11">
        <v>0</v>
      </c>
      <c r="CU84" s="11">
        <v>0</v>
      </c>
      <c r="CV84">
        <v>0</v>
      </c>
      <c r="CW84">
        <f>CS84+CT84/24+CU84/48+CV84/48</f>
        <v>10</v>
      </c>
      <c r="CX84">
        <v>0</v>
      </c>
      <c r="CY84" t="s">
        <v>248</v>
      </c>
      <c r="CZ84" t="s">
        <v>210</v>
      </c>
      <c r="DA84" t="s">
        <v>229</v>
      </c>
      <c r="DB84" t="s">
        <v>356</v>
      </c>
      <c r="DC84" t="s">
        <v>262</v>
      </c>
      <c r="DD84" t="s">
        <v>693</v>
      </c>
      <c r="DE84" t="s">
        <v>263</v>
      </c>
      <c r="DF84" t="s">
        <v>382</v>
      </c>
    </row>
    <row r="85" spans="1:111" x14ac:dyDescent="0.25">
      <c r="A85">
        <v>1382</v>
      </c>
      <c r="C85" t="s">
        <v>35</v>
      </c>
      <c r="D85" t="s">
        <v>2040</v>
      </c>
      <c r="E85" t="s">
        <v>2070</v>
      </c>
      <c r="H85" t="s">
        <v>2042</v>
      </c>
      <c r="I85" t="s">
        <v>219</v>
      </c>
      <c r="J85">
        <v>1342</v>
      </c>
      <c r="K85" t="s">
        <v>2149</v>
      </c>
      <c r="L85">
        <v>15</v>
      </c>
      <c r="M85" s="7" t="s">
        <v>338</v>
      </c>
      <c r="N85" t="s">
        <v>2041</v>
      </c>
      <c r="P85" t="s">
        <v>225</v>
      </c>
      <c r="Q85" t="s">
        <v>205</v>
      </c>
      <c r="R85" t="s">
        <v>205</v>
      </c>
      <c r="S85" t="s">
        <v>205</v>
      </c>
      <c r="T85" t="s">
        <v>225</v>
      </c>
      <c r="U85" t="s">
        <v>277</v>
      </c>
      <c r="W85" t="s">
        <v>225</v>
      </c>
      <c r="X85" t="s">
        <v>225</v>
      </c>
      <c r="Y85" t="s">
        <v>205</v>
      </c>
      <c r="Z85" t="s">
        <v>225</v>
      </c>
      <c r="AA85">
        <v>1</v>
      </c>
      <c r="AB85" t="s">
        <v>225</v>
      </c>
      <c r="AC85" t="s">
        <v>225</v>
      </c>
      <c r="AD85">
        <v>1</v>
      </c>
      <c r="AE85" t="s">
        <v>225</v>
      </c>
      <c r="AF85" t="s">
        <v>225</v>
      </c>
      <c r="AG85" t="s">
        <v>225</v>
      </c>
      <c r="AH85" t="s">
        <v>225</v>
      </c>
      <c r="AI85" t="s">
        <v>225</v>
      </c>
      <c r="AJ85" t="s">
        <v>225</v>
      </c>
      <c r="AK85" t="s">
        <v>225</v>
      </c>
      <c r="AL85" t="s">
        <v>225</v>
      </c>
      <c r="AM85" t="s">
        <v>225</v>
      </c>
      <c r="AN85" t="s">
        <v>225</v>
      </c>
      <c r="AO85" t="s">
        <v>225</v>
      </c>
      <c r="AP85" t="s">
        <v>225</v>
      </c>
      <c r="AQ85" t="s">
        <v>225</v>
      </c>
      <c r="AR85" t="s">
        <v>225</v>
      </c>
      <c r="AS85" t="s">
        <v>225</v>
      </c>
      <c r="AT85" t="s">
        <v>225</v>
      </c>
      <c r="AU85" t="s">
        <v>225</v>
      </c>
      <c r="AV85" t="s">
        <v>225</v>
      </c>
      <c r="AW85" t="s">
        <v>225</v>
      </c>
      <c r="AX85" t="s">
        <v>225</v>
      </c>
      <c r="AY85" t="s">
        <v>225</v>
      </c>
      <c r="AZ85" t="s">
        <v>225</v>
      </c>
      <c r="BA85" t="s">
        <v>225</v>
      </c>
      <c r="BB85" t="s">
        <v>225</v>
      </c>
      <c r="BC85" t="s">
        <v>225</v>
      </c>
      <c r="BD85" t="s">
        <v>225</v>
      </c>
      <c r="BE85" t="s">
        <v>225</v>
      </c>
      <c r="BF85" t="s">
        <v>225</v>
      </c>
      <c r="BG85" t="s">
        <v>225</v>
      </c>
      <c r="BH85" t="s">
        <v>225</v>
      </c>
      <c r="BI85" t="s">
        <v>225</v>
      </c>
      <c r="BJ85" t="s">
        <v>225</v>
      </c>
      <c r="BK85" t="s">
        <v>225</v>
      </c>
      <c r="BL85" t="s">
        <v>225</v>
      </c>
      <c r="BN85" s="5" t="s">
        <v>2057</v>
      </c>
      <c r="BP85" t="s">
        <v>461</v>
      </c>
      <c r="BQ85" t="s">
        <v>539</v>
      </c>
      <c r="BR85" s="5">
        <v>0</v>
      </c>
      <c r="BS85" s="5">
        <v>0</v>
      </c>
      <c r="BT85" s="5">
        <v>0</v>
      </c>
      <c r="BU85" s="5">
        <f>(BS85/8+BT85/4)*39</f>
        <v>0</v>
      </c>
      <c r="BV85" s="5">
        <v>0</v>
      </c>
      <c r="BW85" s="5">
        <v>0</v>
      </c>
      <c r="BX85" s="5">
        <f>1/2</f>
        <v>0.5</v>
      </c>
      <c r="BY85" s="5">
        <v>0</v>
      </c>
      <c r="BZ85" s="5">
        <v>1</v>
      </c>
      <c r="CA85" s="5">
        <v>0</v>
      </c>
      <c r="CB85" s="5">
        <v>0</v>
      </c>
      <c r="CC85" s="5">
        <f>(BV85+BW85/2+BX85/8+BY85/16+BZ85/4+CA85/32)*39</f>
        <v>12.1875</v>
      </c>
      <c r="CD85" s="5">
        <v>0</v>
      </c>
      <c r="CE85" s="5">
        <v>0</v>
      </c>
      <c r="CF85" s="5">
        <v>1</v>
      </c>
      <c r="CG85" s="5">
        <v>1</v>
      </c>
      <c r="CH85" s="5">
        <v>0</v>
      </c>
      <c r="CI85" s="5">
        <v>0</v>
      </c>
      <c r="CJ85" s="5">
        <v>0</v>
      </c>
      <c r="CK85" s="5">
        <v>0</v>
      </c>
      <c r="CL85" s="5">
        <f>(CD85+CE85/2+CF85/8+CG85/16+CH85/4+CJ85/32+CK85/16)*39</f>
        <v>7.3125</v>
      </c>
      <c r="CM85" s="5">
        <v>0</v>
      </c>
      <c r="CN85" s="5">
        <v>0</v>
      </c>
      <c r="CO85" s="5">
        <v>0</v>
      </c>
      <c r="CP85" s="5">
        <v>0</v>
      </c>
      <c r="CQ85" s="5">
        <v>0</v>
      </c>
      <c r="CS85">
        <f>3+5/12</f>
        <v>3.4166666666666665</v>
      </c>
      <c r="CT85">
        <v>0</v>
      </c>
      <c r="CU85">
        <v>0</v>
      </c>
      <c r="CV85">
        <v>0</v>
      </c>
      <c r="CW85">
        <f>CS85+CT85/24+CU85/48+CV85/48</f>
        <v>3.4166666666666665</v>
      </c>
      <c r="CX85">
        <v>0</v>
      </c>
      <c r="CY85" t="s">
        <v>248</v>
      </c>
      <c r="CZ85" t="s">
        <v>210</v>
      </c>
      <c r="DA85" t="s">
        <v>1733</v>
      </c>
      <c r="DB85" t="s">
        <v>2059</v>
      </c>
      <c r="DC85" t="s">
        <v>262</v>
      </c>
      <c r="DD85" t="s">
        <v>693</v>
      </c>
    </row>
    <row r="86" spans="1:111" x14ac:dyDescent="0.25">
      <c r="A86">
        <v>1792</v>
      </c>
      <c r="C86" t="s">
        <v>23</v>
      </c>
      <c r="D86" t="s">
        <v>2040</v>
      </c>
      <c r="E86" t="s">
        <v>3905</v>
      </c>
      <c r="I86" t="s">
        <v>219</v>
      </c>
      <c r="J86" s="5">
        <v>1344</v>
      </c>
      <c r="K86" t="s">
        <v>265</v>
      </c>
      <c r="L86">
        <v>13</v>
      </c>
      <c r="M86" s="7" t="s">
        <v>338</v>
      </c>
      <c r="N86" t="s">
        <v>236</v>
      </c>
      <c r="P86" t="s">
        <v>225</v>
      </c>
      <c r="Q86" t="s">
        <v>205</v>
      </c>
      <c r="R86" t="s">
        <v>205</v>
      </c>
      <c r="S86" t="s">
        <v>205</v>
      </c>
      <c r="T86" t="s">
        <v>225</v>
      </c>
      <c r="V86" t="s">
        <v>1463</v>
      </c>
      <c r="W86">
        <v>1</v>
      </c>
      <c r="X86">
        <v>1</v>
      </c>
      <c r="Y86" t="s">
        <v>205</v>
      </c>
      <c r="Z86" t="s">
        <v>205</v>
      </c>
      <c r="AA86" t="s">
        <v>205</v>
      </c>
      <c r="AB86" t="s">
        <v>205</v>
      </c>
      <c r="AC86" t="s">
        <v>205</v>
      </c>
      <c r="AD86" t="s">
        <v>225</v>
      </c>
      <c r="AE86" t="s">
        <v>225</v>
      </c>
      <c r="AF86" t="s">
        <v>225</v>
      </c>
      <c r="AG86" t="s">
        <v>225</v>
      </c>
      <c r="AH86" t="s">
        <v>205</v>
      </c>
      <c r="AI86" t="s">
        <v>225</v>
      </c>
      <c r="AJ86" t="s">
        <v>225</v>
      </c>
      <c r="AK86" t="s">
        <v>225</v>
      </c>
      <c r="AL86" t="s">
        <v>225</v>
      </c>
      <c r="AM86" t="s">
        <v>225</v>
      </c>
      <c r="AN86" t="s">
        <v>225</v>
      </c>
      <c r="AO86" t="s">
        <v>225</v>
      </c>
      <c r="AP86" t="s">
        <v>225</v>
      </c>
      <c r="AQ86" t="s">
        <v>225</v>
      </c>
      <c r="AR86" t="s">
        <v>225</v>
      </c>
      <c r="AS86" t="s">
        <v>225</v>
      </c>
      <c r="AT86" t="s">
        <v>225</v>
      </c>
      <c r="AU86" t="s">
        <v>205</v>
      </c>
      <c r="AV86" t="s">
        <v>225</v>
      </c>
      <c r="AW86" t="s">
        <v>225</v>
      </c>
      <c r="AX86" t="s">
        <v>225</v>
      </c>
      <c r="AY86" t="s">
        <v>225</v>
      </c>
      <c r="AZ86" t="s">
        <v>225</v>
      </c>
      <c r="BA86" t="s">
        <v>225</v>
      </c>
      <c r="BB86" t="s">
        <v>225</v>
      </c>
      <c r="BC86" t="s">
        <v>225</v>
      </c>
      <c r="BD86" t="s">
        <v>225</v>
      </c>
      <c r="BE86" t="s">
        <v>225</v>
      </c>
      <c r="BF86" t="s">
        <v>225</v>
      </c>
      <c r="BG86" t="s">
        <v>225</v>
      </c>
      <c r="BH86" t="s">
        <v>225</v>
      </c>
      <c r="BI86" t="s">
        <v>225</v>
      </c>
      <c r="BJ86" t="s">
        <v>225</v>
      </c>
      <c r="BK86" t="s">
        <v>225</v>
      </c>
      <c r="BL86" t="s">
        <v>205</v>
      </c>
      <c r="BN86" t="s">
        <v>3296</v>
      </c>
      <c r="BO86" t="s">
        <v>3284</v>
      </c>
      <c r="BQ86" t="s">
        <v>539</v>
      </c>
      <c r="BR86" s="5">
        <v>1</v>
      </c>
      <c r="BS86" s="5">
        <v>0</v>
      </c>
      <c r="BT86" s="5">
        <v>0</v>
      </c>
      <c r="BU86" s="5">
        <f>(BS86/8+BT86/4)*39</f>
        <v>0</v>
      </c>
      <c r="BV86" s="5">
        <v>0</v>
      </c>
      <c r="BW86" s="5">
        <v>0</v>
      </c>
      <c r="BX86" s="5">
        <f>7+1/2</f>
        <v>7.5</v>
      </c>
      <c r="BY86" s="5">
        <v>1</v>
      </c>
      <c r="BZ86" s="5">
        <v>0</v>
      </c>
      <c r="CA86" s="5">
        <v>0</v>
      </c>
      <c r="CB86" s="5">
        <v>0</v>
      </c>
      <c r="CC86" s="5">
        <f>(BV86+BW86/2+BX86/8+BY86/16+BZ86/4+CA86/32)*39</f>
        <v>39</v>
      </c>
      <c r="CD86" s="5">
        <v>0</v>
      </c>
      <c r="CE86" s="5">
        <v>0</v>
      </c>
      <c r="CF86" s="5">
        <f>7+1/2</f>
        <v>7.5</v>
      </c>
      <c r="CG86" s="5">
        <v>0</v>
      </c>
      <c r="CH86" s="5">
        <v>0</v>
      </c>
      <c r="CI86" s="5">
        <v>0</v>
      </c>
      <c r="CJ86" s="5">
        <v>0</v>
      </c>
      <c r="CK86" s="5">
        <v>0</v>
      </c>
      <c r="CL86" s="5">
        <f>(CD86+CE86/2+CF86/8+CG86/16+CH86/4+CJ86/32+CK86/16)*39</f>
        <v>36.5625</v>
      </c>
      <c r="CM86" s="5">
        <v>0</v>
      </c>
      <c r="CN86" s="5">
        <v>0</v>
      </c>
      <c r="CO86" s="5">
        <v>0</v>
      </c>
      <c r="CP86" s="5">
        <v>0</v>
      </c>
      <c r="CQ86" s="5">
        <v>0</v>
      </c>
      <c r="CR86" t="s">
        <v>3297</v>
      </c>
      <c r="CS86">
        <f>4+2/12</f>
        <v>4.166666666666667</v>
      </c>
      <c r="CT86">
        <v>0</v>
      </c>
      <c r="CU86">
        <v>0</v>
      </c>
      <c r="CV86">
        <v>0</v>
      </c>
      <c r="CW86">
        <f>CS86+CT86/24+CU86/48+CV86/48</f>
        <v>4.166666666666667</v>
      </c>
      <c r="CX86">
        <f>2/12</f>
        <v>0.16666666666666666</v>
      </c>
      <c r="CY86" t="s">
        <v>248</v>
      </c>
      <c r="CZ86" t="s">
        <v>210</v>
      </c>
      <c r="DC86" t="s">
        <v>262</v>
      </c>
      <c r="DD86" t="s">
        <v>693</v>
      </c>
      <c r="DE86" t="s">
        <v>3859</v>
      </c>
      <c r="DF86" t="s">
        <v>3309</v>
      </c>
      <c r="DG86" t="s">
        <v>3310</v>
      </c>
    </row>
    <row r="87" spans="1:111" x14ac:dyDescent="0.25">
      <c r="A87">
        <v>1801</v>
      </c>
      <c r="C87" t="s">
        <v>3299</v>
      </c>
      <c r="D87" t="s">
        <v>2040</v>
      </c>
      <c r="E87" t="s">
        <v>3905</v>
      </c>
      <c r="G87" t="s">
        <v>3300</v>
      </c>
      <c r="I87" t="s">
        <v>3219</v>
      </c>
      <c r="J87" s="5">
        <v>1344</v>
      </c>
      <c r="K87" t="s">
        <v>265</v>
      </c>
      <c r="L87">
        <v>13</v>
      </c>
      <c r="M87" s="7" t="s">
        <v>338</v>
      </c>
      <c r="N87" s="8" t="s">
        <v>1691</v>
      </c>
      <c r="V87" t="s">
        <v>1463</v>
      </c>
      <c r="W87" t="s">
        <v>225</v>
      </c>
      <c r="X87" t="s">
        <v>225</v>
      </c>
      <c r="Y87" t="s">
        <v>225</v>
      </c>
      <c r="Z87" t="s">
        <v>225</v>
      </c>
      <c r="AA87" t="s">
        <v>225</v>
      </c>
      <c r="AB87" t="s">
        <v>225</v>
      </c>
      <c r="AC87" t="s">
        <v>225</v>
      </c>
      <c r="AD87" t="s">
        <v>225</v>
      </c>
      <c r="AE87" t="s">
        <v>225</v>
      </c>
      <c r="AF87" t="s">
        <v>225</v>
      </c>
      <c r="AG87" t="s">
        <v>225</v>
      </c>
      <c r="AH87" t="s">
        <v>225</v>
      </c>
      <c r="AI87">
        <v>1</v>
      </c>
      <c r="AJ87" t="s">
        <v>225</v>
      </c>
      <c r="AK87" t="s">
        <v>225</v>
      </c>
      <c r="AL87" t="s">
        <v>225</v>
      </c>
      <c r="AM87" t="s">
        <v>225</v>
      </c>
      <c r="AN87" t="s">
        <v>225</v>
      </c>
      <c r="AO87" t="s">
        <v>225</v>
      </c>
      <c r="AP87" t="s">
        <v>225</v>
      </c>
      <c r="AQ87" t="s">
        <v>225</v>
      </c>
      <c r="AR87" t="s">
        <v>225</v>
      </c>
      <c r="AS87" t="s">
        <v>225</v>
      </c>
      <c r="AT87" t="s">
        <v>225</v>
      </c>
      <c r="AU87" t="s">
        <v>225</v>
      </c>
      <c r="AV87" t="s">
        <v>225</v>
      </c>
      <c r="AW87" t="s">
        <v>225</v>
      </c>
      <c r="AX87" t="s">
        <v>225</v>
      </c>
      <c r="AY87" t="s">
        <v>225</v>
      </c>
      <c r="AZ87" t="s">
        <v>225</v>
      </c>
      <c r="BA87" t="s">
        <v>225</v>
      </c>
      <c r="BB87" t="s">
        <v>225</v>
      </c>
      <c r="BC87" t="s">
        <v>225</v>
      </c>
      <c r="BD87" t="s">
        <v>225</v>
      </c>
      <c r="BE87" t="s">
        <v>225</v>
      </c>
      <c r="BF87" t="s">
        <v>225</v>
      </c>
      <c r="BG87" t="s">
        <v>225</v>
      </c>
      <c r="BH87" t="s">
        <v>225</v>
      </c>
      <c r="BI87" t="s">
        <v>225</v>
      </c>
      <c r="BJ87">
        <v>1</v>
      </c>
      <c r="BK87" t="s">
        <v>225</v>
      </c>
      <c r="BL87" t="s">
        <v>225</v>
      </c>
      <c r="BN87" t="s">
        <v>3308</v>
      </c>
      <c r="BQ87" t="s">
        <v>539</v>
      </c>
      <c r="BR87" s="5">
        <v>0</v>
      </c>
      <c r="BS87" s="5">
        <v>0</v>
      </c>
      <c r="BT87" s="5">
        <v>0</v>
      </c>
      <c r="BU87" s="5">
        <f>(BS87/8+BT87/4)*39</f>
        <v>0</v>
      </c>
      <c r="BV87" s="5">
        <v>0</v>
      </c>
      <c r="BW87" s="5">
        <v>0</v>
      </c>
      <c r="BX87" s="5">
        <v>5</v>
      </c>
      <c r="BY87" s="5">
        <v>1</v>
      </c>
      <c r="BZ87" s="5">
        <v>0</v>
      </c>
      <c r="CA87" s="5">
        <v>0</v>
      </c>
      <c r="CB87" s="5">
        <v>0</v>
      </c>
      <c r="CC87" s="5">
        <f>(BV87+BW87/2+BX87/8+BY87/16+BZ87/4+CA87/32)*39</f>
        <v>26.8125</v>
      </c>
      <c r="CD87" s="5">
        <v>0</v>
      </c>
      <c r="CE87" s="5">
        <f>1</f>
        <v>1</v>
      </c>
      <c r="CF87" s="6">
        <f>1/2</f>
        <v>0.5</v>
      </c>
      <c r="CG87" s="5">
        <v>0</v>
      </c>
      <c r="CH87" s="5">
        <v>0</v>
      </c>
      <c r="CI87" s="5">
        <v>0</v>
      </c>
      <c r="CJ87" s="5">
        <v>0</v>
      </c>
      <c r="CK87" s="5">
        <v>0</v>
      </c>
      <c r="CL87" s="5">
        <f>(CD87+CE87/2+CF87/8+CG87/16+CH87/4+CJ87/32+CK87/16)*39</f>
        <v>21.9375</v>
      </c>
      <c r="CM87" s="5">
        <v>0</v>
      </c>
      <c r="CN87" s="5">
        <v>0</v>
      </c>
      <c r="CO87" s="5">
        <v>0</v>
      </c>
      <c r="CP87" s="5">
        <v>0</v>
      </c>
      <c r="CQ87" s="5">
        <v>0</v>
      </c>
      <c r="CR87" t="s">
        <v>3306</v>
      </c>
      <c r="CS87">
        <f>6+2/12</f>
        <v>6.166666666666667</v>
      </c>
      <c r="CT87">
        <v>0</v>
      </c>
      <c r="CU87">
        <v>0</v>
      </c>
      <c r="CV87">
        <v>0</v>
      </c>
      <c r="CW87">
        <f>CS87+CT87/24+CU87/48+CV87/48</f>
        <v>6.166666666666667</v>
      </c>
      <c r="CX87">
        <v>0</v>
      </c>
      <c r="CZ87" t="s">
        <v>210</v>
      </c>
      <c r="DC87" t="s">
        <v>262</v>
      </c>
      <c r="DD87" t="s">
        <v>693</v>
      </c>
      <c r="DE87" t="s">
        <v>3859</v>
      </c>
      <c r="DF87" t="s">
        <v>3309</v>
      </c>
      <c r="DG87" t="s">
        <v>3310</v>
      </c>
    </row>
    <row r="88" spans="1:111" x14ac:dyDescent="0.25">
      <c r="A88">
        <v>1451</v>
      </c>
      <c r="C88" t="s">
        <v>2306</v>
      </c>
      <c r="D88" t="s">
        <v>2302</v>
      </c>
      <c r="E88" t="s">
        <v>2303</v>
      </c>
      <c r="I88" t="s">
        <v>3219</v>
      </c>
      <c r="J88" s="16">
        <v>1342</v>
      </c>
      <c r="K88" s="16" t="s">
        <v>817</v>
      </c>
      <c r="L88" t="s">
        <v>15</v>
      </c>
      <c r="M88" s="7" t="s">
        <v>338</v>
      </c>
      <c r="N88" t="s">
        <v>236</v>
      </c>
      <c r="P88" t="s">
        <v>225</v>
      </c>
      <c r="Q88" t="s">
        <v>205</v>
      </c>
      <c r="R88" t="s">
        <v>205</v>
      </c>
      <c r="S88" t="s">
        <v>205</v>
      </c>
      <c r="T88" t="s">
        <v>225</v>
      </c>
      <c r="W88">
        <v>1</v>
      </c>
      <c r="X88">
        <v>1</v>
      </c>
      <c r="Y88" t="s">
        <v>225</v>
      </c>
      <c r="Z88" t="s">
        <v>225</v>
      </c>
      <c r="AA88" t="s">
        <v>225</v>
      </c>
      <c r="AB88" t="s">
        <v>225</v>
      </c>
      <c r="AC88" t="s">
        <v>225</v>
      </c>
      <c r="AD88">
        <v>1</v>
      </c>
      <c r="AE88" t="s">
        <v>225</v>
      </c>
      <c r="AF88" t="s">
        <v>225</v>
      </c>
      <c r="AG88" t="s">
        <v>225</v>
      </c>
      <c r="AH88" t="s">
        <v>225</v>
      </c>
      <c r="AI88" t="s">
        <v>225</v>
      </c>
      <c r="AJ88" t="s">
        <v>225</v>
      </c>
      <c r="AK88" t="s">
        <v>225</v>
      </c>
      <c r="AL88" t="s">
        <v>225</v>
      </c>
      <c r="AM88" t="s">
        <v>225</v>
      </c>
      <c r="AN88" t="s">
        <v>225</v>
      </c>
      <c r="AO88" t="s">
        <v>225</v>
      </c>
      <c r="AP88" t="s">
        <v>225</v>
      </c>
      <c r="AQ88" t="s">
        <v>225</v>
      </c>
      <c r="AR88" t="s">
        <v>225</v>
      </c>
      <c r="AS88" t="s">
        <v>225</v>
      </c>
      <c r="AT88" t="s">
        <v>225</v>
      </c>
      <c r="AU88" t="s">
        <v>225</v>
      </c>
      <c r="AV88" t="s">
        <v>225</v>
      </c>
      <c r="AW88" t="s">
        <v>225</v>
      </c>
      <c r="AX88" t="s">
        <v>225</v>
      </c>
      <c r="AY88" t="s">
        <v>225</v>
      </c>
      <c r="AZ88" t="s">
        <v>225</v>
      </c>
      <c r="BA88" t="s">
        <v>225</v>
      </c>
      <c r="BB88" t="s">
        <v>225</v>
      </c>
      <c r="BC88" t="s">
        <v>225</v>
      </c>
      <c r="BD88" t="s">
        <v>225</v>
      </c>
      <c r="BE88" t="s">
        <v>225</v>
      </c>
      <c r="BF88" t="s">
        <v>225</v>
      </c>
      <c r="BG88" t="s">
        <v>225</v>
      </c>
      <c r="BH88" t="s">
        <v>225</v>
      </c>
      <c r="BI88" t="s">
        <v>225</v>
      </c>
      <c r="BJ88" t="s">
        <v>225</v>
      </c>
      <c r="BK88" t="s">
        <v>225</v>
      </c>
      <c r="BL88" t="s">
        <v>205</v>
      </c>
      <c r="BM88" t="s">
        <v>2307</v>
      </c>
      <c r="BN88" t="s">
        <v>485</v>
      </c>
      <c r="BO88" t="s">
        <v>2304</v>
      </c>
      <c r="BQ88" t="s">
        <v>539</v>
      </c>
      <c r="BR88" s="5">
        <v>0</v>
      </c>
      <c r="BS88" s="5">
        <v>0</v>
      </c>
      <c r="BT88" s="5">
        <v>0</v>
      </c>
      <c r="BU88" s="5">
        <f>(BS88/8+BT88/4)*39</f>
        <v>0</v>
      </c>
      <c r="BV88" s="5">
        <v>0</v>
      </c>
      <c r="BW88" s="5">
        <v>0</v>
      </c>
      <c r="BX88" s="5">
        <v>0</v>
      </c>
      <c r="BY88" s="5">
        <v>1</v>
      </c>
      <c r="BZ88" s="5">
        <v>0</v>
      </c>
      <c r="CA88" s="5">
        <v>0</v>
      </c>
      <c r="CB88" s="5">
        <v>0</v>
      </c>
      <c r="CC88" s="5">
        <f>(BV88+BW88/2+BX88/8+BY88/16+BZ88/4+CA88/32)*39</f>
        <v>2.4375</v>
      </c>
      <c r="CD88" s="5">
        <v>0</v>
      </c>
      <c r="CE88" s="5">
        <v>0</v>
      </c>
      <c r="CF88" s="5">
        <v>0</v>
      </c>
      <c r="CG88" s="5">
        <f>1+1/2+1/10</f>
        <v>1.6</v>
      </c>
      <c r="CH88" s="5">
        <v>0</v>
      </c>
      <c r="CI88" s="5">
        <v>0</v>
      </c>
      <c r="CJ88" s="5">
        <v>0</v>
      </c>
      <c r="CK88" s="5">
        <v>0</v>
      </c>
      <c r="CL88" s="5">
        <f>(CD88+CE88/2+CF88/8+CG88/16+CH88/4+CJ88/32+CK88/16)*39</f>
        <v>3.9000000000000004</v>
      </c>
      <c r="CM88" s="5">
        <v>0</v>
      </c>
      <c r="CN88" s="5">
        <v>0</v>
      </c>
      <c r="CO88" s="5">
        <v>0</v>
      </c>
      <c r="CP88" s="5">
        <v>0</v>
      </c>
      <c r="CQ88" s="5">
        <v>0</v>
      </c>
      <c r="CR88" t="s">
        <v>485</v>
      </c>
      <c r="CS88">
        <f>20/12</f>
        <v>1.6666666666666667</v>
      </c>
      <c r="CT88">
        <v>0</v>
      </c>
      <c r="CU88">
        <v>0</v>
      </c>
      <c r="CV88">
        <f>1+1/2</f>
        <v>1.5</v>
      </c>
      <c r="CW88">
        <f>CS88+CT88/24+CU88/48+CV88/48</f>
        <v>1.6979166666666667</v>
      </c>
      <c r="CX88">
        <v>0</v>
      </c>
      <c r="CY88" t="s">
        <v>248</v>
      </c>
      <c r="DA88" t="s">
        <v>1733</v>
      </c>
      <c r="DB88" t="s">
        <v>2253</v>
      </c>
      <c r="DC88" t="s">
        <v>539</v>
      </c>
      <c r="DD88" t="s">
        <v>693</v>
      </c>
      <c r="DE88" t="s">
        <v>2308</v>
      </c>
      <c r="DF88" t="s">
        <v>573</v>
      </c>
      <c r="DG88" t="s">
        <v>2309</v>
      </c>
    </row>
    <row r="89" spans="1:111" x14ac:dyDescent="0.25">
      <c r="A89">
        <v>1721</v>
      </c>
      <c r="C89" t="s">
        <v>19</v>
      </c>
      <c r="D89" t="s">
        <v>3080</v>
      </c>
      <c r="E89" t="s">
        <v>1810</v>
      </c>
      <c r="I89" t="s">
        <v>219</v>
      </c>
      <c r="J89" s="5">
        <v>1343</v>
      </c>
      <c r="K89" t="s">
        <v>249</v>
      </c>
      <c r="L89">
        <v>17</v>
      </c>
      <c r="M89" s="8" t="s">
        <v>338</v>
      </c>
      <c r="N89" t="s">
        <v>986</v>
      </c>
      <c r="V89" t="s">
        <v>1463</v>
      </c>
      <c r="W89" t="s">
        <v>225</v>
      </c>
      <c r="X89" t="s">
        <v>225</v>
      </c>
      <c r="Y89" t="s">
        <v>225</v>
      </c>
      <c r="Z89" t="s">
        <v>225</v>
      </c>
      <c r="AA89">
        <f>1/5</f>
        <v>0.2</v>
      </c>
      <c r="AB89" t="s">
        <v>225</v>
      </c>
      <c r="AC89" t="s">
        <v>225</v>
      </c>
      <c r="AD89" t="s">
        <v>225</v>
      </c>
      <c r="AE89" t="s">
        <v>225</v>
      </c>
      <c r="AF89" t="s">
        <v>225</v>
      </c>
      <c r="AG89" t="s">
        <v>225</v>
      </c>
      <c r="AH89" t="s">
        <v>225</v>
      </c>
      <c r="AI89" t="s">
        <v>225</v>
      </c>
      <c r="AJ89" t="s">
        <v>225</v>
      </c>
      <c r="AK89" t="s">
        <v>225</v>
      </c>
      <c r="AL89" t="s">
        <v>225</v>
      </c>
      <c r="AM89" t="s">
        <v>225</v>
      </c>
      <c r="AN89" t="s">
        <v>225</v>
      </c>
      <c r="AO89" t="s">
        <v>225</v>
      </c>
      <c r="AP89" t="s">
        <v>225</v>
      </c>
      <c r="AQ89" t="s">
        <v>225</v>
      </c>
      <c r="AR89" t="s">
        <v>225</v>
      </c>
      <c r="AS89" t="s">
        <v>225</v>
      </c>
      <c r="AT89" t="s">
        <v>225</v>
      </c>
      <c r="AU89" t="s">
        <v>225</v>
      </c>
      <c r="AV89" t="s">
        <v>225</v>
      </c>
      <c r="AW89" t="s">
        <v>225</v>
      </c>
      <c r="AX89" t="s">
        <v>225</v>
      </c>
      <c r="AY89" t="s">
        <v>225</v>
      </c>
      <c r="AZ89" t="s">
        <v>225</v>
      </c>
      <c r="BA89" t="s">
        <v>225</v>
      </c>
      <c r="BB89" t="s">
        <v>225</v>
      </c>
      <c r="BC89" t="s">
        <v>225</v>
      </c>
      <c r="BD89" t="s">
        <v>225</v>
      </c>
      <c r="BE89" t="s">
        <v>225</v>
      </c>
      <c r="BF89" t="s">
        <v>225</v>
      </c>
      <c r="BG89" t="s">
        <v>225</v>
      </c>
      <c r="BH89" t="s">
        <v>225</v>
      </c>
      <c r="BI89" t="s">
        <v>225</v>
      </c>
      <c r="BJ89" t="s">
        <v>225</v>
      </c>
      <c r="BK89" t="s">
        <v>225</v>
      </c>
      <c r="BL89" t="s">
        <v>225</v>
      </c>
      <c r="BN89" t="s">
        <v>3078</v>
      </c>
      <c r="BR89" s="5">
        <v>0</v>
      </c>
      <c r="BS89" s="5">
        <v>0</v>
      </c>
      <c r="BT89" s="5">
        <v>0</v>
      </c>
      <c r="BU89" s="5">
        <f>(BS89/8+BT89/4)*39</f>
        <v>0</v>
      </c>
      <c r="BV89" s="5">
        <v>0</v>
      </c>
      <c r="BW89" s="5">
        <v>0</v>
      </c>
      <c r="BX89" s="5">
        <v>0</v>
      </c>
      <c r="BY89" s="5">
        <v>0</v>
      </c>
      <c r="BZ89" s="5">
        <v>0</v>
      </c>
      <c r="CA89" s="5">
        <v>0</v>
      </c>
      <c r="CB89" s="5">
        <v>0</v>
      </c>
      <c r="CC89" s="5">
        <f>(BV89+BW89/2+BX89/8+BY89/16+BZ89/4+CA89/32)*39</f>
        <v>0</v>
      </c>
      <c r="CD89" s="5">
        <v>0</v>
      </c>
      <c r="CE89" s="5">
        <v>0</v>
      </c>
      <c r="CF89" s="5">
        <v>0</v>
      </c>
      <c r="CG89" s="5">
        <v>0</v>
      </c>
      <c r="CH89" s="5">
        <v>0</v>
      </c>
      <c r="CI89" s="5">
        <v>0</v>
      </c>
      <c r="CJ89" s="5">
        <v>0</v>
      </c>
      <c r="CK89" s="5">
        <v>0</v>
      </c>
      <c r="CL89" s="5">
        <f>(CD89+CE89/2+CF89/8+CG89/16+CH89/4+CJ89/32+CK89/16)*39</f>
        <v>0</v>
      </c>
      <c r="CM89" s="5">
        <v>0</v>
      </c>
      <c r="CN89" s="5">
        <v>0</v>
      </c>
      <c r="CO89" s="5">
        <v>0</v>
      </c>
      <c r="CP89" s="5">
        <v>0</v>
      </c>
      <c r="CQ89" s="5">
        <v>0</v>
      </c>
      <c r="CS89">
        <f>4/12</f>
        <v>0.33333333333333331</v>
      </c>
      <c r="CT89">
        <v>0</v>
      </c>
      <c r="CU89">
        <v>0</v>
      </c>
      <c r="CV89">
        <v>0</v>
      </c>
      <c r="CW89">
        <f>CS89+CT89/24+CU89/48+CV89/48</f>
        <v>0.33333333333333331</v>
      </c>
      <c r="CX89">
        <v>0</v>
      </c>
      <c r="CZ89" t="s">
        <v>210</v>
      </c>
      <c r="DC89" t="s">
        <v>262</v>
      </c>
      <c r="DD89" t="s">
        <v>693</v>
      </c>
      <c r="DE89" t="s">
        <v>2650</v>
      </c>
      <c r="DF89" t="s">
        <v>3079</v>
      </c>
    </row>
    <row r="90" spans="1:111" x14ac:dyDescent="0.25">
      <c r="A90">
        <v>1581</v>
      </c>
      <c r="C90" t="s">
        <v>39</v>
      </c>
      <c r="D90" t="s">
        <v>2727</v>
      </c>
      <c r="E90" t="s">
        <v>2729</v>
      </c>
      <c r="F90" t="s">
        <v>2728</v>
      </c>
      <c r="H90" t="s">
        <v>2730</v>
      </c>
      <c r="I90" t="s">
        <v>219</v>
      </c>
      <c r="J90" s="5">
        <v>1343</v>
      </c>
      <c r="K90" t="s">
        <v>817</v>
      </c>
      <c r="L90">
        <v>19</v>
      </c>
      <c r="M90" s="7" t="s">
        <v>338</v>
      </c>
      <c r="N90" t="s">
        <v>236</v>
      </c>
      <c r="P90" t="s">
        <v>225</v>
      </c>
      <c r="Q90" t="s">
        <v>205</v>
      </c>
      <c r="R90" t="s">
        <v>205</v>
      </c>
      <c r="S90" t="s">
        <v>205</v>
      </c>
      <c r="T90" t="s">
        <v>225</v>
      </c>
      <c r="U90" t="s">
        <v>277</v>
      </c>
      <c r="V90" t="s">
        <v>1463</v>
      </c>
      <c r="W90">
        <v>1</v>
      </c>
      <c r="X90">
        <v>1</v>
      </c>
      <c r="Y90" t="s">
        <v>205</v>
      </c>
      <c r="Z90" t="s">
        <v>225</v>
      </c>
      <c r="AA90">
        <v>1</v>
      </c>
      <c r="AB90" t="s">
        <v>225</v>
      </c>
      <c r="AC90" t="s">
        <v>225</v>
      </c>
      <c r="AD90" t="s">
        <v>205</v>
      </c>
      <c r="AE90" t="s">
        <v>225</v>
      </c>
      <c r="AF90" t="s">
        <v>225</v>
      </c>
      <c r="AG90" t="s">
        <v>225</v>
      </c>
      <c r="AH90" t="s">
        <v>225</v>
      </c>
      <c r="AI90" t="s">
        <v>225</v>
      </c>
      <c r="AJ90" t="s">
        <v>225</v>
      </c>
      <c r="AK90" t="s">
        <v>225</v>
      </c>
      <c r="AL90" t="s">
        <v>225</v>
      </c>
      <c r="AM90" t="s">
        <v>225</v>
      </c>
      <c r="AN90" t="s">
        <v>225</v>
      </c>
      <c r="AO90" t="s">
        <v>225</v>
      </c>
      <c r="AP90">
        <v>1</v>
      </c>
      <c r="AQ90" t="s">
        <v>225</v>
      </c>
      <c r="AR90" t="s">
        <v>225</v>
      </c>
      <c r="AS90" t="s">
        <v>225</v>
      </c>
      <c r="AT90" t="s">
        <v>225</v>
      </c>
      <c r="AU90" t="s">
        <v>225</v>
      </c>
      <c r="AV90" t="s">
        <v>225</v>
      </c>
      <c r="AW90" t="s">
        <v>225</v>
      </c>
      <c r="AX90" t="s">
        <v>225</v>
      </c>
      <c r="AY90" t="s">
        <v>225</v>
      </c>
      <c r="AZ90" t="s">
        <v>225</v>
      </c>
      <c r="BA90" t="s">
        <v>225</v>
      </c>
      <c r="BB90" t="s">
        <v>225</v>
      </c>
      <c r="BC90" t="s">
        <v>225</v>
      </c>
      <c r="BD90" t="s">
        <v>225</v>
      </c>
      <c r="BE90" t="s">
        <v>225</v>
      </c>
      <c r="BF90">
        <v>1</v>
      </c>
      <c r="BG90" t="s">
        <v>225</v>
      </c>
      <c r="BH90" t="s">
        <v>225</v>
      </c>
      <c r="BI90" t="s">
        <v>225</v>
      </c>
      <c r="BJ90" t="s">
        <v>225</v>
      </c>
      <c r="BK90" t="s">
        <v>225</v>
      </c>
      <c r="BL90" t="s">
        <v>205</v>
      </c>
      <c r="BM90" t="s">
        <v>2732</v>
      </c>
      <c r="BN90" t="s">
        <v>2746</v>
      </c>
      <c r="BP90" t="s">
        <v>467</v>
      </c>
      <c r="BQ90" t="s">
        <v>539</v>
      </c>
      <c r="BR90" s="5">
        <f>1/2</f>
        <v>0.5</v>
      </c>
      <c r="BS90" s="5">
        <v>0</v>
      </c>
      <c r="BT90" s="5">
        <v>1</v>
      </c>
      <c r="BU90" s="5">
        <f>(BS90/8+BT90/4)*39</f>
        <v>9.75</v>
      </c>
      <c r="BV90" s="5">
        <v>0</v>
      </c>
      <c r="BW90" s="5">
        <v>0</v>
      </c>
      <c r="BX90" s="5">
        <v>0</v>
      </c>
      <c r="BY90" s="5">
        <v>1</v>
      </c>
      <c r="BZ90" s="5">
        <v>0</v>
      </c>
      <c r="CA90" s="5">
        <v>0</v>
      </c>
      <c r="CB90" s="5">
        <v>0</v>
      </c>
      <c r="CC90" s="5">
        <f>(BV90+BW90/2+BX90/8+BY90/16+BZ90/4+CA90/32)*39</f>
        <v>2.4375</v>
      </c>
      <c r="CD90" s="5">
        <v>0</v>
      </c>
      <c r="CE90" s="5">
        <v>0</v>
      </c>
      <c r="CF90" s="5">
        <v>1</v>
      </c>
      <c r="CG90" s="5">
        <f>1+1/2</f>
        <v>1.5</v>
      </c>
      <c r="CH90" s="5">
        <v>1</v>
      </c>
      <c r="CI90" s="5">
        <v>0</v>
      </c>
      <c r="CJ90" s="5">
        <v>0</v>
      </c>
      <c r="CK90" s="5">
        <v>0</v>
      </c>
      <c r="CL90" s="5">
        <f>(CD90+CE90/2+CF90/8+CG90/16+CH90/4+CJ90/32+CK90/16)*39</f>
        <v>18.28125</v>
      </c>
      <c r="CM90" s="5">
        <v>0</v>
      </c>
      <c r="CN90" s="5">
        <v>0</v>
      </c>
      <c r="CO90" s="5">
        <v>0</v>
      </c>
      <c r="CP90" s="5">
        <v>0</v>
      </c>
      <c r="CQ90" s="5">
        <v>0</v>
      </c>
      <c r="CR90" t="s">
        <v>2751</v>
      </c>
      <c r="CS90">
        <f>4+10/12+15/12</f>
        <v>6.083333333333333</v>
      </c>
      <c r="CT90">
        <v>0</v>
      </c>
      <c r="CU90">
        <v>0</v>
      </c>
      <c r="CV90">
        <v>0</v>
      </c>
      <c r="CW90">
        <f>CS90+CT90/24+CU90/48+CV90/48</f>
        <v>6.083333333333333</v>
      </c>
      <c r="CX90">
        <f>2/12</f>
        <v>0.16666666666666666</v>
      </c>
      <c r="CY90" t="s">
        <v>2737</v>
      </c>
      <c r="CZ90" t="s">
        <v>210</v>
      </c>
      <c r="DA90" t="s">
        <v>1733</v>
      </c>
      <c r="DB90" t="s">
        <v>2748</v>
      </c>
      <c r="DC90" t="s">
        <v>262</v>
      </c>
      <c r="DD90" t="s">
        <v>693</v>
      </c>
      <c r="DE90" t="s">
        <v>2749</v>
      </c>
      <c r="DF90" t="s">
        <v>2750</v>
      </c>
    </row>
    <row r="91" spans="1:111" x14ac:dyDescent="0.25">
      <c r="A91">
        <v>1284</v>
      </c>
      <c r="C91" t="s">
        <v>1667</v>
      </c>
      <c r="D91" t="s">
        <v>1668</v>
      </c>
      <c r="E91" t="s">
        <v>170</v>
      </c>
      <c r="G91" t="s">
        <v>1669</v>
      </c>
      <c r="H91" t="s">
        <v>1670</v>
      </c>
      <c r="I91" t="s">
        <v>220</v>
      </c>
      <c r="J91">
        <v>1343</v>
      </c>
      <c r="K91" t="s">
        <v>1097</v>
      </c>
      <c r="L91">
        <v>10</v>
      </c>
      <c r="M91" s="7" t="s">
        <v>338</v>
      </c>
      <c r="N91" t="s">
        <v>986</v>
      </c>
      <c r="V91" t="s">
        <v>1463</v>
      </c>
      <c r="W91">
        <v>1</v>
      </c>
      <c r="X91">
        <v>3</v>
      </c>
      <c r="Y91">
        <v>1</v>
      </c>
      <c r="Z91" s="5" t="s">
        <v>225</v>
      </c>
      <c r="AA91" s="5" t="s">
        <v>225</v>
      </c>
      <c r="AB91" s="5" t="s">
        <v>225</v>
      </c>
      <c r="AC91" s="5" t="s">
        <v>225</v>
      </c>
      <c r="AD91">
        <v>5</v>
      </c>
      <c r="AE91" s="5" t="s">
        <v>225</v>
      </c>
      <c r="AF91" s="5" t="s">
        <v>225</v>
      </c>
      <c r="AG91" s="5" t="s">
        <v>225</v>
      </c>
      <c r="AH91" s="5" t="s">
        <v>225</v>
      </c>
      <c r="AI91" s="5" t="s">
        <v>225</v>
      </c>
      <c r="AJ91" s="5" t="s">
        <v>225</v>
      </c>
      <c r="AK91" s="5" t="s">
        <v>225</v>
      </c>
      <c r="AL91" s="5" t="s">
        <v>225</v>
      </c>
      <c r="AM91" s="5" t="s">
        <v>225</v>
      </c>
      <c r="AN91" s="5" t="s">
        <v>225</v>
      </c>
      <c r="AO91" s="5" t="s">
        <v>225</v>
      </c>
      <c r="AP91" s="5" t="s">
        <v>225</v>
      </c>
      <c r="AQ91" s="5" t="s">
        <v>225</v>
      </c>
      <c r="AR91" s="5" t="s">
        <v>225</v>
      </c>
      <c r="AS91" s="5" t="s">
        <v>225</v>
      </c>
      <c r="AT91" s="5" t="s">
        <v>225</v>
      </c>
      <c r="AU91" s="5" t="s">
        <v>225</v>
      </c>
      <c r="AV91" s="5" t="s">
        <v>225</v>
      </c>
      <c r="AW91" s="5" t="s">
        <v>225</v>
      </c>
      <c r="AX91" s="5" t="s">
        <v>225</v>
      </c>
      <c r="AY91" t="s">
        <v>225</v>
      </c>
      <c r="AZ91" t="s">
        <v>225</v>
      </c>
      <c r="BA91" t="s">
        <v>225</v>
      </c>
      <c r="BB91" t="s">
        <v>225</v>
      </c>
      <c r="BC91" t="s">
        <v>225</v>
      </c>
      <c r="BD91" t="s">
        <v>225</v>
      </c>
      <c r="BE91" t="s">
        <v>225</v>
      </c>
      <c r="BF91" t="s">
        <v>225</v>
      </c>
      <c r="BG91" t="s">
        <v>225</v>
      </c>
      <c r="BH91" t="s">
        <v>225</v>
      </c>
      <c r="BI91" t="s">
        <v>225</v>
      </c>
      <c r="BJ91" t="s">
        <v>225</v>
      </c>
      <c r="BK91" t="s">
        <v>225</v>
      </c>
      <c r="BL91" s="5" t="s">
        <v>225</v>
      </c>
      <c r="BN91" t="s">
        <v>1686</v>
      </c>
      <c r="BP91" t="s">
        <v>506</v>
      </c>
      <c r="BR91" s="5">
        <v>0</v>
      </c>
      <c r="BS91" s="5">
        <v>0</v>
      </c>
      <c r="BT91" s="5">
        <v>0</v>
      </c>
      <c r="BU91" s="5">
        <f>(BS91/8+BT91/4)*39</f>
        <v>0</v>
      </c>
      <c r="BV91" s="5">
        <v>0</v>
      </c>
      <c r="BW91" s="5">
        <v>0</v>
      </c>
      <c r="BX91" s="5">
        <v>0</v>
      </c>
      <c r="BY91" s="5">
        <v>0</v>
      </c>
      <c r="BZ91" s="5">
        <v>0</v>
      </c>
      <c r="CA91" s="5">
        <v>0</v>
      </c>
      <c r="CB91" s="5">
        <v>0</v>
      </c>
      <c r="CC91" s="5">
        <f>(BV91+BW91/2+BX91/8+BY91/16+BZ91/4+CA91/32)*39</f>
        <v>0</v>
      </c>
      <c r="CD91" s="5">
        <v>0</v>
      </c>
      <c r="CE91" s="5">
        <v>0</v>
      </c>
      <c r="CF91" s="5">
        <v>0</v>
      </c>
      <c r="CG91" s="5">
        <v>0</v>
      </c>
      <c r="CH91" s="5">
        <v>0</v>
      </c>
      <c r="CI91" s="5">
        <v>0</v>
      </c>
      <c r="CJ91" s="5">
        <v>0</v>
      </c>
      <c r="CK91" s="5">
        <v>0</v>
      </c>
      <c r="CL91" s="5">
        <f>(CD91+CE91/2+CF91/8+CG91/16+CH91/4+CJ91/32+CK91/16)*39</f>
        <v>0</v>
      </c>
      <c r="CM91" s="5">
        <v>0</v>
      </c>
      <c r="CN91" s="5">
        <v>0</v>
      </c>
      <c r="CO91" s="5">
        <v>0</v>
      </c>
      <c r="CP91" s="5">
        <v>0</v>
      </c>
      <c r="CQ91" s="5">
        <v>0</v>
      </c>
      <c r="CS91">
        <v>0</v>
      </c>
      <c r="CT91">
        <v>3</v>
      </c>
      <c r="CU91">
        <v>0</v>
      </c>
      <c r="CV91">
        <v>0</v>
      </c>
      <c r="CW91">
        <f>CS91+CT91/24+CU91/48+CV91/48</f>
        <v>0.125</v>
      </c>
      <c r="CX91">
        <v>0</v>
      </c>
      <c r="CZ91" t="s">
        <v>210</v>
      </c>
      <c r="DC91" t="s">
        <v>1645</v>
      </c>
      <c r="DD91" t="s">
        <v>693</v>
      </c>
      <c r="DE91" t="s">
        <v>263</v>
      </c>
      <c r="DF91" t="s">
        <v>1571</v>
      </c>
      <c r="DG91" t="s">
        <v>1666</v>
      </c>
    </row>
    <row r="92" spans="1:111" x14ac:dyDescent="0.25">
      <c r="A92">
        <v>1452</v>
      </c>
      <c r="B92" t="s">
        <v>1708</v>
      </c>
      <c r="C92" t="s">
        <v>43</v>
      </c>
      <c r="D92" t="s">
        <v>1865</v>
      </c>
      <c r="E92" t="s">
        <v>1810</v>
      </c>
      <c r="G92" t="s">
        <v>2311</v>
      </c>
      <c r="H92" t="s">
        <v>1204</v>
      </c>
      <c r="I92" t="s">
        <v>219</v>
      </c>
      <c r="J92" s="16">
        <v>1342</v>
      </c>
      <c r="K92" s="16" t="s">
        <v>817</v>
      </c>
      <c r="L92" t="s">
        <v>15</v>
      </c>
      <c r="M92" s="7" t="s">
        <v>338</v>
      </c>
      <c r="N92" t="s">
        <v>358</v>
      </c>
      <c r="P92" t="s">
        <v>225</v>
      </c>
      <c r="Q92" t="s">
        <v>205</v>
      </c>
      <c r="R92" t="s">
        <v>205</v>
      </c>
      <c r="S92" t="s">
        <v>205</v>
      </c>
      <c r="T92" t="s">
        <v>225</v>
      </c>
      <c r="U92" t="s">
        <v>277</v>
      </c>
      <c r="W92">
        <v>1</v>
      </c>
      <c r="X92">
        <v>2</v>
      </c>
      <c r="Y92">
        <v>4</v>
      </c>
      <c r="Z92" t="s">
        <v>225</v>
      </c>
      <c r="AA92" t="s">
        <v>205</v>
      </c>
      <c r="AB92" t="s">
        <v>225</v>
      </c>
      <c r="AC92" t="s">
        <v>205</v>
      </c>
      <c r="AD92" t="s">
        <v>225</v>
      </c>
      <c r="AE92" t="s">
        <v>225</v>
      </c>
      <c r="AF92" t="s">
        <v>225</v>
      </c>
      <c r="AG92" t="s">
        <v>225</v>
      </c>
      <c r="AH92" t="s">
        <v>225</v>
      </c>
      <c r="AI92" t="s">
        <v>225</v>
      </c>
      <c r="AJ92" t="s">
        <v>225</v>
      </c>
      <c r="AK92" t="s">
        <v>225</v>
      </c>
      <c r="AL92" t="s">
        <v>225</v>
      </c>
      <c r="AM92">
        <v>1</v>
      </c>
      <c r="AN92" t="s">
        <v>205</v>
      </c>
      <c r="AO92" t="s">
        <v>225</v>
      </c>
      <c r="AP92" t="s">
        <v>205</v>
      </c>
      <c r="AQ92" t="s">
        <v>225</v>
      </c>
      <c r="AR92" t="s">
        <v>225</v>
      </c>
      <c r="AS92" t="s">
        <v>225</v>
      </c>
      <c r="AT92" t="s">
        <v>225</v>
      </c>
      <c r="AU92" t="s">
        <v>225</v>
      </c>
      <c r="AV92" t="s">
        <v>225</v>
      </c>
      <c r="AW92" t="s">
        <v>225</v>
      </c>
      <c r="AX92" t="s">
        <v>205</v>
      </c>
      <c r="AY92" t="s">
        <v>225</v>
      </c>
      <c r="AZ92" t="s">
        <v>225</v>
      </c>
      <c r="BA92" t="s">
        <v>225</v>
      </c>
      <c r="BB92" t="s">
        <v>225</v>
      </c>
      <c r="BC92" t="s">
        <v>205</v>
      </c>
      <c r="BD92" t="s">
        <v>225</v>
      </c>
      <c r="BE92" t="s">
        <v>225</v>
      </c>
      <c r="BF92" t="s">
        <v>225</v>
      </c>
      <c r="BG92" t="s">
        <v>225</v>
      </c>
      <c r="BH92" t="s">
        <v>225</v>
      </c>
      <c r="BI92" t="s">
        <v>225</v>
      </c>
      <c r="BJ92" t="s">
        <v>225</v>
      </c>
      <c r="BK92" t="s">
        <v>225</v>
      </c>
      <c r="BL92" t="s">
        <v>225</v>
      </c>
      <c r="BN92" t="s">
        <v>2347</v>
      </c>
      <c r="BO92" t="s">
        <v>2334</v>
      </c>
      <c r="BP92" t="s">
        <v>460</v>
      </c>
      <c r="BQ92" t="s">
        <v>539</v>
      </c>
      <c r="BR92" s="5">
        <f>1/2</f>
        <v>0.5</v>
      </c>
      <c r="BS92" s="5">
        <v>0</v>
      </c>
      <c r="BT92" s="5">
        <v>0</v>
      </c>
      <c r="BU92" s="5">
        <f>(BS92/8+BT92/4)*39</f>
        <v>0</v>
      </c>
      <c r="BV92" s="5">
        <v>0</v>
      </c>
      <c r="BW92" s="5">
        <v>0</v>
      </c>
      <c r="BX92" s="5">
        <v>6</v>
      </c>
      <c r="BY92" s="5">
        <v>0</v>
      </c>
      <c r="BZ92" s="5">
        <v>0</v>
      </c>
      <c r="CA92" s="5">
        <v>0</v>
      </c>
      <c r="CB92" s="5">
        <v>0</v>
      </c>
      <c r="CC92" s="5">
        <f>(BV92+BW92/2+BX92/8+BY92/16+BZ92/4+CA92/32)*39</f>
        <v>29.25</v>
      </c>
      <c r="CD92" s="5">
        <v>0</v>
      </c>
      <c r="CE92" s="5">
        <v>0</v>
      </c>
      <c r="CF92" s="5">
        <v>3</v>
      </c>
      <c r="CG92" s="5">
        <v>3</v>
      </c>
      <c r="CH92" s="5">
        <v>0</v>
      </c>
      <c r="CI92" s="5">
        <v>0</v>
      </c>
      <c r="CJ92" s="5">
        <v>0</v>
      </c>
      <c r="CK92" s="5">
        <v>0</v>
      </c>
      <c r="CL92" s="5">
        <f>(CD92+CE92/2+CF92/8+CG92/16+CH92/4+CJ92/32+CK92/16)*39</f>
        <v>21.9375</v>
      </c>
      <c r="CM92" s="5">
        <v>0</v>
      </c>
      <c r="CN92" s="5">
        <v>0</v>
      </c>
      <c r="CO92" s="5">
        <v>0</v>
      </c>
      <c r="CP92" s="5">
        <v>0</v>
      </c>
      <c r="CQ92" s="5">
        <v>0</v>
      </c>
      <c r="CS92">
        <f>7+2/12</f>
        <v>7.166666666666667</v>
      </c>
      <c r="CT92">
        <v>0</v>
      </c>
      <c r="CU92">
        <v>0</v>
      </c>
      <c r="CV92">
        <v>0</v>
      </c>
      <c r="CW92">
        <f>CS92+CT92/24+CU92/48+CV92/48</f>
        <v>7.166666666666667</v>
      </c>
      <c r="CX92">
        <v>0</v>
      </c>
      <c r="DA92" t="s">
        <v>1733</v>
      </c>
      <c r="DB92" t="s">
        <v>2344</v>
      </c>
      <c r="DC92" t="s">
        <v>539</v>
      </c>
      <c r="DD92" t="s">
        <v>693</v>
      </c>
      <c r="DE92" t="s">
        <v>2308</v>
      </c>
      <c r="DF92" t="s">
        <v>573</v>
      </c>
      <c r="DG92" t="s">
        <v>2309</v>
      </c>
    </row>
    <row r="93" spans="1:111" x14ac:dyDescent="0.25">
      <c r="A93">
        <v>1401</v>
      </c>
      <c r="B93" t="s">
        <v>3839</v>
      </c>
      <c r="C93" t="s">
        <v>2177</v>
      </c>
      <c r="D93" t="s">
        <v>3805</v>
      </c>
      <c r="E93" t="s">
        <v>2070</v>
      </c>
      <c r="G93" t="s">
        <v>2176</v>
      </c>
      <c r="H93" t="s">
        <v>3954</v>
      </c>
      <c r="I93" t="s">
        <v>3219</v>
      </c>
      <c r="J93" t="s">
        <v>15</v>
      </c>
      <c r="K93" t="s">
        <v>15</v>
      </c>
      <c r="L93" t="s">
        <v>15</v>
      </c>
      <c r="M93" s="7" t="s">
        <v>338</v>
      </c>
      <c r="W93" t="s">
        <v>225</v>
      </c>
      <c r="X93" t="s">
        <v>225</v>
      </c>
      <c r="Y93" t="s">
        <v>225</v>
      </c>
      <c r="Z93" t="s">
        <v>225</v>
      </c>
      <c r="AA93">
        <v>2</v>
      </c>
      <c r="AB93" t="s">
        <v>225</v>
      </c>
      <c r="AC93" t="s">
        <v>225</v>
      </c>
      <c r="AD93" t="s">
        <v>225</v>
      </c>
      <c r="AE93" t="s">
        <v>225</v>
      </c>
      <c r="AF93" t="s">
        <v>225</v>
      </c>
      <c r="AG93" t="s">
        <v>225</v>
      </c>
      <c r="AH93" t="s">
        <v>225</v>
      </c>
      <c r="AI93" t="s">
        <v>225</v>
      </c>
      <c r="AJ93" t="s">
        <v>225</v>
      </c>
      <c r="AK93" t="s">
        <v>225</v>
      </c>
      <c r="AL93" t="s">
        <v>225</v>
      </c>
      <c r="AM93" t="s">
        <v>225</v>
      </c>
      <c r="AN93" t="s">
        <v>205</v>
      </c>
      <c r="AO93" t="s">
        <v>225</v>
      </c>
      <c r="AP93" t="s">
        <v>225</v>
      </c>
      <c r="AQ93" t="s">
        <v>225</v>
      </c>
      <c r="AR93" t="s">
        <v>225</v>
      </c>
      <c r="AS93" t="s">
        <v>225</v>
      </c>
      <c r="AT93" t="s">
        <v>225</v>
      </c>
      <c r="AU93" t="s">
        <v>225</v>
      </c>
      <c r="AV93" t="s">
        <v>225</v>
      </c>
      <c r="AW93" t="s">
        <v>225</v>
      </c>
      <c r="AX93" t="s">
        <v>225</v>
      </c>
      <c r="AY93" t="s">
        <v>225</v>
      </c>
      <c r="AZ93" t="s">
        <v>225</v>
      </c>
      <c r="BA93" t="s">
        <v>205</v>
      </c>
      <c r="BB93" t="s">
        <v>225</v>
      </c>
      <c r="BC93" t="s">
        <v>225</v>
      </c>
      <c r="BD93" t="s">
        <v>225</v>
      </c>
      <c r="BE93" t="s">
        <v>225</v>
      </c>
      <c r="BF93" t="s">
        <v>225</v>
      </c>
      <c r="BG93" t="s">
        <v>225</v>
      </c>
      <c r="BH93" t="s">
        <v>225</v>
      </c>
      <c r="BI93" t="s">
        <v>225</v>
      </c>
      <c r="BJ93" t="s">
        <v>225</v>
      </c>
      <c r="BK93" t="s">
        <v>225</v>
      </c>
      <c r="BL93" t="s">
        <v>225</v>
      </c>
      <c r="BM93" s="5" t="s">
        <v>2175</v>
      </c>
      <c r="BN93" s="5" t="s">
        <v>2180</v>
      </c>
      <c r="BP93" t="s">
        <v>2179</v>
      </c>
      <c r="BQ93" t="s">
        <v>539</v>
      </c>
      <c r="BR93" s="5">
        <v>1</v>
      </c>
      <c r="BS93" s="5">
        <v>0</v>
      </c>
      <c r="BT93" s="5">
        <v>0</v>
      </c>
      <c r="BU93" s="5">
        <f>(BS93/8+BT93/4)*39</f>
        <v>0</v>
      </c>
      <c r="BV93" s="5">
        <v>0</v>
      </c>
      <c r="BW93" s="5">
        <v>0</v>
      </c>
      <c r="BX93" s="5">
        <v>0</v>
      </c>
      <c r="BY93" s="5">
        <v>0</v>
      </c>
      <c r="BZ93" s="5">
        <v>1</v>
      </c>
      <c r="CA93" s="5">
        <v>0</v>
      </c>
      <c r="CB93" s="5">
        <v>0</v>
      </c>
      <c r="CC93" s="5">
        <f>(BV93+BW93/2+BX93/8+BY93/16+BZ93/4+CA93/32)*39</f>
        <v>9.75</v>
      </c>
      <c r="CD93" s="5">
        <v>0</v>
      </c>
      <c r="CE93" s="5">
        <v>0</v>
      </c>
      <c r="CF93" s="5">
        <v>3</v>
      </c>
      <c r="CG93" s="5">
        <v>0</v>
      </c>
      <c r="CH93" s="5">
        <v>0</v>
      </c>
      <c r="CI93" s="5">
        <v>0</v>
      </c>
      <c r="CJ93" s="5">
        <v>0</v>
      </c>
      <c r="CK93" s="5">
        <v>0</v>
      </c>
      <c r="CL93" s="5">
        <f>(CD93+CE93/2+CF93/8+CG93/16+CH93/4+CJ93/32+CK93/16)*39</f>
        <v>14.625</v>
      </c>
      <c r="CM93" s="5">
        <v>0</v>
      </c>
      <c r="CN93" s="5">
        <v>0</v>
      </c>
      <c r="CO93" s="5">
        <v>0</v>
      </c>
      <c r="CP93" s="5">
        <v>0</v>
      </c>
      <c r="CQ93" s="5">
        <v>0</v>
      </c>
      <c r="CS93">
        <f>2+4/12</f>
        <v>2.3333333333333335</v>
      </c>
      <c r="CT93">
        <v>0</v>
      </c>
      <c r="CU93">
        <v>0</v>
      </c>
      <c r="CV93">
        <v>0</v>
      </c>
      <c r="CW93">
        <f>CS93+CT93/24+CU93/48+CV93/48</f>
        <v>2.3333333333333335</v>
      </c>
      <c r="CX93">
        <v>0</v>
      </c>
      <c r="CY93" t="s">
        <v>2173</v>
      </c>
      <c r="CZ93" t="s">
        <v>210</v>
      </c>
      <c r="DA93" t="s">
        <v>1733</v>
      </c>
      <c r="DB93" t="s">
        <v>2174</v>
      </c>
      <c r="DC93" t="s">
        <v>2178</v>
      </c>
      <c r="DD93" t="s">
        <v>693</v>
      </c>
      <c r="DE93" t="s">
        <v>542</v>
      </c>
      <c r="DF93" t="s">
        <v>573</v>
      </c>
    </row>
    <row r="94" spans="1:111" x14ac:dyDescent="0.25">
      <c r="A94">
        <v>1531</v>
      </c>
      <c r="C94" t="s">
        <v>2060</v>
      </c>
      <c r="D94" t="s">
        <v>21</v>
      </c>
      <c r="E94" t="s">
        <v>2660</v>
      </c>
      <c r="I94" t="s">
        <v>219</v>
      </c>
      <c r="J94" s="5">
        <v>1343</v>
      </c>
      <c r="K94" t="s">
        <v>817</v>
      </c>
      <c r="L94">
        <v>17</v>
      </c>
      <c r="M94" s="8" t="s">
        <v>338</v>
      </c>
      <c r="N94" t="s">
        <v>236</v>
      </c>
      <c r="P94" t="s">
        <v>225</v>
      </c>
      <c r="Q94" t="s">
        <v>205</v>
      </c>
      <c r="R94" t="s">
        <v>205</v>
      </c>
      <c r="S94" t="s">
        <v>205</v>
      </c>
      <c r="T94" t="s">
        <v>225</v>
      </c>
      <c r="U94" t="s">
        <v>277</v>
      </c>
      <c r="V94" t="s">
        <v>1463</v>
      </c>
      <c r="W94">
        <v>1</v>
      </c>
      <c r="X94">
        <v>2</v>
      </c>
      <c r="Y94">
        <v>2</v>
      </c>
      <c r="Z94" t="s">
        <v>225</v>
      </c>
      <c r="AA94" t="s">
        <v>225</v>
      </c>
      <c r="AB94" t="s">
        <v>225</v>
      </c>
      <c r="AC94" t="s">
        <v>225</v>
      </c>
      <c r="AD94" t="s">
        <v>225</v>
      </c>
      <c r="AE94" t="s">
        <v>225</v>
      </c>
      <c r="AF94" t="s">
        <v>225</v>
      </c>
      <c r="AG94" t="s">
        <v>225</v>
      </c>
      <c r="AH94" t="s">
        <v>225</v>
      </c>
      <c r="AI94" t="s">
        <v>225</v>
      </c>
      <c r="AJ94" t="s">
        <v>225</v>
      </c>
      <c r="AK94" t="s">
        <v>225</v>
      </c>
      <c r="AL94" t="s">
        <v>225</v>
      </c>
      <c r="AM94" t="s">
        <v>225</v>
      </c>
      <c r="AN94" t="s">
        <v>225</v>
      </c>
      <c r="AO94" t="s">
        <v>225</v>
      </c>
      <c r="AP94">
        <v>8</v>
      </c>
      <c r="AQ94" t="s">
        <v>225</v>
      </c>
      <c r="AR94" t="s">
        <v>225</v>
      </c>
      <c r="AS94" t="s">
        <v>225</v>
      </c>
      <c r="AT94" t="s">
        <v>225</v>
      </c>
      <c r="AU94" t="s">
        <v>225</v>
      </c>
      <c r="AV94" t="s">
        <v>225</v>
      </c>
      <c r="AW94" t="s">
        <v>225</v>
      </c>
      <c r="AX94" t="s">
        <v>225</v>
      </c>
      <c r="AY94" t="s">
        <v>225</v>
      </c>
      <c r="AZ94" t="s">
        <v>225</v>
      </c>
      <c r="BA94" t="s">
        <v>225</v>
      </c>
      <c r="BB94" t="s">
        <v>225</v>
      </c>
      <c r="BC94" t="s">
        <v>225</v>
      </c>
      <c r="BD94" t="s">
        <v>225</v>
      </c>
      <c r="BE94" t="s">
        <v>225</v>
      </c>
      <c r="BF94" t="s">
        <v>225</v>
      </c>
      <c r="BG94" t="s">
        <v>225</v>
      </c>
      <c r="BH94" t="s">
        <v>225</v>
      </c>
      <c r="BI94" t="s">
        <v>225</v>
      </c>
      <c r="BJ94" t="s">
        <v>225</v>
      </c>
      <c r="BK94" t="s">
        <v>225</v>
      </c>
      <c r="BL94" t="s">
        <v>225</v>
      </c>
      <c r="BN94" t="s">
        <v>2618</v>
      </c>
      <c r="BQ94" t="s">
        <v>539</v>
      </c>
      <c r="BR94" s="5">
        <v>1</v>
      </c>
      <c r="BS94" s="5">
        <v>0</v>
      </c>
      <c r="BT94" s="5">
        <v>0</v>
      </c>
      <c r="BU94" s="5">
        <f>(BS94/8+BT94/4)*39</f>
        <v>0</v>
      </c>
      <c r="BV94" s="5">
        <v>0</v>
      </c>
      <c r="BW94" s="5">
        <v>1</v>
      </c>
      <c r="BX94" s="5">
        <v>0</v>
      </c>
      <c r="BY94" s="5">
        <v>0</v>
      </c>
      <c r="BZ94" s="5">
        <v>0</v>
      </c>
      <c r="CA94" s="5">
        <v>0</v>
      </c>
      <c r="CB94" s="5">
        <v>0</v>
      </c>
      <c r="CC94" s="5">
        <f>(BV94+BW94/2+BX94/8+BY94/16+BZ94/4+CA94/32)*39</f>
        <v>19.5</v>
      </c>
      <c r="CD94" s="5">
        <v>0</v>
      </c>
      <c r="CE94" s="5">
        <v>0</v>
      </c>
      <c r="CF94" s="5">
        <v>0</v>
      </c>
      <c r="CG94" s="5">
        <v>0</v>
      </c>
      <c r="CH94" s="5">
        <v>1</v>
      </c>
      <c r="CI94" s="5">
        <v>0</v>
      </c>
      <c r="CJ94" s="5">
        <v>0</v>
      </c>
      <c r="CK94" s="5">
        <v>0</v>
      </c>
      <c r="CL94" s="5">
        <f>(CD94+CE94/2+CF94/8+CG94/16+CH94/4+CJ94/32+CK94/16)*39</f>
        <v>9.75</v>
      </c>
      <c r="CM94" s="5">
        <v>0</v>
      </c>
      <c r="CN94" s="5">
        <v>0</v>
      </c>
      <c r="CO94" s="5">
        <v>0</v>
      </c>
      <c r="CP94" s="5">
        <v>0</v>
      </c>
      <c r="CQ94" s="5">
        <v>0</v>
      </c>
      <c r="CR94" t="s">
        <v>2619</v>
      </c>
      <c r="CS94">
        <f>2+10/12</f>
        <v>2.8333333333333335</v>
      </c>
      <c r="CT94">
        <v>0</v>
      </c>
      <c r="CU94">
        <v>0</v>
      </c>
      <c r="CV94">
        <v>0</v>
      </c>
      <c r="CW94">
        <f>CS94+CT94/24+CU94/48+CV94/48</f>
        <v>2.8333333333333335</v>
      </c>
      <c r="CX94">
        <v>0</v>
      </c>
      <c r="CZ94" t="s">
        <v>210</v>
      </c>
      <c r="DA94" t="s">
        <v>1733</v>
      </c>
      <c r="DB94" t="s">
        <v>2620</v>
      </c>
      <c r="DC94" t="s">
        <v>262</v>
      </c>
      <c r="DD94" t="s">
        <v>693</v>
      </c>
      <c r="DE94" t="s">
        <v>2621</v>
      </c>
      <c r="DF94" t="s">
        <v>2622</v>
      </c>
    </row>
    <row r="95" spans="1:111" x14ac:dyDescent="0.25">
      <c r="A95">
        <v>1551</v>
      </c>
      <c r="B95" t="s">
        <v>788</v>
      </c>
      <c r="C95" t="s">
        <v>11</v>
      </c>
      <c r="D95" t="s">
        <v>2684</v>
      </c>
      <c r="E95" t="s">
        <v>2661</v>
      </c>
      <c r="I95" t="s">
        <v>219</v>
      </c>
      <c r="J95" s="5">
        <v>1343</v>
      </c>
      <c r="K95" t="s">
        <v>817</v>
      </c>
      <c r="L95">
        <v>17</v>
      </c>
      <c r="M95" s="7" t="s">
        <v>338</v>
      </c>
      <c r="N95" t="s">
        <v>236</v>
      </c>
      <c r="P95" t="s">
        <v>225</v>
      </c>
      <c r="Q95" t="s">
        <v>205</v>
      </c>
      <c r="R95" t="s">
        <v>205</v>
      </c>
      <c r="S95" t="s">
        <v>205</v>
      </c>
      <c r="T95" t="s">
        <v>225</v>
      </c>
      <c r="U95" t="s">
        <v>277</v>
      </c>
      <c r="V95" t="s">
        <v>1463</v>
      </c>
      <c r="W95">
        <v>1</v>
      </c>
      <c r="X95">
        <v>2</v>
      </c>
      <c r="Y95" t="s">
        <v>225</v>
      </c>
      <c r="Z95" t="s">
        <v>225</v>
      </c>
      <c r="AA95" t="s">
        <v>225</v>
      </c>
      <c r="AB95">
        <v>1</v>
      </c>
      <c r="AC95">
        <v>2</v>
      </c>
      <c r="AD95" t="s">
        <v>225</v>
      </c>
      <c r="AE95" t="s">
        <v>225</v>
      </c>
      <c r="AF95" t="s">
        <v>225</v>
      </c>
      <c r="AG95" t="s">
        <v>225</v>
      </c>
      <c r="AH95" t="s">
        <v>225</v>
      </c>
      <c r="AI95" t="s">
        <v>225</v>
      </c>
      <c r="AJ95" t="s">
        <v>225</v>
      </c>
      <c r="AK95" t="s">
        <v>225</v>
      </c>
      <c r="AL95">
        <v>1</v>
      </c>
      <c r="AM95" t="s">
        <v>225</v>
      </c>
      <c r="AN95" t="s">
        <v>225</v>
      </c>
      <c r="AO95" t="s">
        <v>225</v>
      </c>
      <c r="AP95">
        <v>5</v>
      </c>
      <c r="AQ95" t="s">
        <v>225</v>
      </c>
      <c r="AR95" t="s">
        <v>225</v>
      </c>
      <c r="AS95" t="s">
        <v>225</v>
      </c>
      <c r="AT95" t="s">
        <v>225</v>
      </c>
      <c r="AU95" t="s">
        <v>225</v>
      </c>
      <c r="AV95" t="s">
        <v>225</v>
      </c>
      <c r="AW95" t="s">
        <v>225</v>
      </c>
      <c r="AX95" t="s">
        <v>225</v>
      </c>
      <c r="AY95" t="s">
        <v>225</v>
      </c>
      <c r="AZ95" t="s">
        <v>225</v>
      </c>
      <c r="BA95">
        <v>1</v>
      </c>
      <c r="BB95" t="s">
        <v>225</v>
      </c>
      <c r="BC95" t="s">
        <v>225</v>
      </c>
      <c r="BD95" t="s">
        <v>225</v>
      </c>
      <c r="BE95" t="s">
        <v>225</v>
      </c>
      <c r="BF95" t="s">
        <v>225</v>
      </c>
      <c r="BG95" t="s">
        <v>225</v>
      </c>
      <c r="BH95" t="s">
        <v>225</v>
      </c>
      <c r="BI95" t="s">
        <v>225</v>
      </c>
      <c r="BJ95" t="s">
        <v>225</v>
      </c>
      <c r="BK95" t="s">
        <v>225</v>
      </c>
      <c r="BL95" t="s">
        <v>225</v>
      </c>
      <c r="BN95" t="s">
        <v>2676</v>
      </c>
      <c r="BO95" t="s">
        <v>2675</v>
      </c>
      <c r="BQ95" t="s">
        <v>539</v>
      </c>
      <c r="BR95" s="5">
        <v>1</v>
      </c>
      <c r="BS95" s="5">
        <v>0</v>
      </c>
      <c r="BT95" s="5">
        <v>0</v>
      </c>
      <c r="BU95" s="5">
        <f>(BS95/8+BT95/4)*39</f>
        <v>0</v>
      </c>
      <c r="BV95" s="5">
        <v>0</v>
      </c>
      <c r="BW95" s="5">
        <v>1</v>
      </c>
      <c r="BX95" s="5">
        <v>0</v>
      </c>
      <c r="BY95" s="5">
        <v>0</v>
      </c>
      <c r="BZ95" s="5">
        <v>1</v>
      </c>
      <c r="CA95" s="5">
        <v>0</v>
      </c>
      <c r="CB95" s="5">
        <v>0</v>
      </c>
      <c r="CC95" s="5">
        <f>(BV95+BW95/2+BX95/8+BY95/16+BZ95/4+CA95/32)*39</f>
        <v>29.25</v>
      </c>
      <c r="CD95" s="5">
        <v>0</v>
      </c>
      <c r="CE95" s="5">
        <v>0</v>
      </c>
      <c r="CF95" s="5">
        <v>1</v>
      </c>
      <c r="CG95" s="5">
        <v>0</v>
      </c>
      <c r="CH95" s="5">
        <v>0</v>
      </c>
      <c r="CI95" s="5">
        <v>0</v>
      </c>
      <c r="CJ95" s="5">
        <v>0</v>
      </c>
      <c r="CK95" s="5">
        <v>0</v>
      </c>
      <c r="CL95" s="5">
        <f>(CD95+CE95/2+CF95/8+CG95/16+CH95/4+CJ95/32+CK95/16)*39</f>
        <v>4.875</v>
      </c>
      <c r="CM95" s="5">
        <v>0</v>
      </c>
      <c r="CN95" s="5">
        <v>0</v>
      </c>
      <c r="CO95" s="5">
        <v>0</v>
      </c>
      <c r="CP95" s="5">
        <v>0</v>
      </c>
      <c r="CQ95" s="5">
        <v>0</v>
      </c>
      <c r="CR95" t="s">
        <v>2674</v>
      </c>
      <c r="CS95">
        <f>12/12</f>
        <v>1</v>
      </c>
      <c r="CT95">
        <v>0</v>
      </c>
      <c r="CU95">
        <v>0</v>
      </c>
      <c r="CV95">
        <v>0</v>
      </c>
      <c r="CW95">
        <f>CS95+CT95/24+CU95/48+CV95/48</f>
        <v>1</v>
      </c>
      <c r="CX95">
        <v>0</v>
      </c>
      <c r="CY95" t="s">
        <v>248</v>
      </c>
      <c r="CZ95" t="s">
        <v>210</v>
      </c>
      <c r="DA95" t="s">
        <v>1733</v>
      </c>
      <c r="DB95" t="s">
        <v>2681</v>
      </c>
      <c r="DC95" t="s">
        <v>262</v>
      </c>
      <c r="DD95" t="s">
        <v>693</v>
      </c>
      <c r="DE95" t="s">
        <v>3812</v>
      </c>
      <c r="DF95" t="s">
        <v>2682</v>
      </c>
    </row>
    <row r="96" spans="1:111" x14ac:dyDescent="0.25">
      <c r="A96">
        <v>1561</v>
      </c>
      <c r="C96" t="s">
        <v>1439</v>
      </c>
      <c r="D96" t="s">
        <v>2684</v>
      </c>
      <c r="E96" t="s">
        <v>2661</v>
      </c>
      <c r="G96" t="s">
        <v>2683</v>
      </c>
      <c r="H96" t="s">
        <v>2685</v>
      </c>
      <c r="I96" t="s">
        <v>219</v>
      </c>
      <c r="J96" s="5">
        <v>1343</v>
      </c>
      <c r="K96" t="s">
        <v>817</v>
      </c>
      <c r="L96">
        <v>17</v>
      </c>
      <c r="M96" s="7" t="s">
        <v>338</v>
      </c>
      <c r="N96" t="s">
        <v>1612</v>
      </c>
      <c r="P96" t="s">
        <v>225</v>
      </c>
      <c r="Q96" t="s">
        <v>205</v>
      </c>
      <c r="R96" t="s">
        <v>205</v>
      </c>
      <c r="S96" t="s">
        <v>205</v>
      </c>
      <c r="T96" t="s">
        <v>225</v>
      </c>
      <c r="U96" t="s">
        <v>277</v>
      </c>
      <c r="V96" t="s">
        <v>2686</v>
      </c>
      <c r="W96">
        <v>1</v>
      </c>
      <c r="X96">
        <v>2</v>
      </c>
      <c r="Y96">
        <v>1</v>
      </c>
      <c r="Z96">
        <v>1</v>
      </c>
      <c r="AA96" t="s">
        <v>225</v>
      </c>
      <c r="AB96" t="s">
        <v>225</v>
      </c>
      <c r="AC96">
        <v>1</v>
      </c>
      <c r="AD96" t="s">
        <v>225</v>
      </c>
      <c r="AE96" t="s">
        <v>225</v>
      </c>
      <c r="AF96" t="s">
        <v>225</v>
      </c>
      <c r="AG96" t="s">
        <v>225</v>
      </c>
      <c r="AH96" t="s">
        <v>225</v>
      </c>
      <c r="AI96" t="s">
        <v>225</v>
      </c>
      <c r="AJ96" t="s">
        <v>225</v>
      </c>
      <c r="AK96" t="s">
        <v>225</v>
      </c>
      <c r="AL96" t="s">
        <v>225</v>
      </c>
      <c r="AM96" t="s">
        <v>225</v>
      </c>
      <c r="AN96" t="s">
        <v>225</v>
      </c>
      <c r="AO96" t="s">
        <v>225</v>
      </c>
      <c r="AP96">
        <v>4</v>
      </c>
      <c r="AQ96" t="s">
        <v>225</v>
      </c>
      <c r="AR96" t="s">
        <v>225</v>
      </c>
      <c r="AS96" t="s">
        <v>225</v>
      </c>
      <c r="AT96" t="s">
        <v>225</v>
      </c>
      <c r="AU96" t="s">
        <v>225</v>
      </c>
      <c r="AV96" t="s">
        <v>225</v>
      </c>
      <c r="AW96" t="s">
        <v>225</v>
      </c>
      <c r="AX96" t="s">
        <v>225</v>
      </c>
      <c r="AY96" t="s">
        <v>225</v>
      </c>
      <c r="AZ96" t="s">
        <v>225</v>
      </c>
      <c r="BA96" t="s">
        <v>225</v>
      </c>
      <c r="BB96" t="s">
        <v>225</v>
      </c>
      <c r="BC96" t="s">
        <v>225</v>
      </c>
      <c r="BD96" t="s">
        <v>225</v>
      </c>
      <c r="BE96" t="s">
        <v>225</v>
      </c>
      <c r="BF96" t="s">
        <v>225</v>
      </c>
      <c r="BG96" t="s">
        <v>225</v>
      </c>
      <c r="BH96" t="s">
        <v>225</v>
      </c>
      <c r="BI96" t="s">
        <v>225</v>
      </c>
      <c r="BJ96" t="s">
        <v>225</v>
      </c>
      <c r="BK96" t="s">
        <v>225</v>
      </c>
      <c r="BL96" t="s">
        <v>225</v>
      </c>
      <c r="BN96" t="s">
        <v>2703</v>
      </c>
      <c r="BO96" t="s">
        <v>2702</v>
      </c>
      <c r="BP96" t="s">
        <v>467</v>
      </c>
      <c r="BQ96" t="s">
        <v>539</v>
      </c>
      <c r="BR96" s="5">
        <v>1</v>
      </c>
      <c r="BS96" s="5">
        <v>0</v>
      </c>
      <c r="BT96" s="5">
        <v>0</v>
      </c>
      <c r="BU96" s="5">
        <f>(BS96/8+BT96/4)*39</f>
        <v>0</v>
      </c>
      <c r="BV96" s="5">
        <v>0</v>
      </c>
      <c r="BW96" s="5">
        <v>0</v>
      </c>
      <c r="BX96" s="5">
        <f>3+1/2</f>
        <v>3.5</v>
      </c>
      <c r="BY96" s="5">
        <v>0</v>
      </c>
      <c r="BZ96" s="5">
        <v>0</v>
      </c>
      <c r="CA96" s="5">
        <v>0</v>
      </c>
      <c r="CB96" s="5">
        <v>0</v>
      </c>
      <c r="CC96" s="5">
        <f>(BV96+BW96/2+BX96/8+BY96/16+BZ96/4+CA96/32)*39</f>
        <v>17.0625</v>
      </c>
      <c r="CD96" s="5">
        <v>0</v>
      </c>
      <c r="CE96" s="5">
        <v>0</v>
      </c>
      <c r="CF96" s="5">
        <v>1</v>
      </c>
      <c r="CG96" s="5">
        <v>0</v>
      </c>
      <c r="CH96" s="5">
        <v>0</v>
      </c>
      <c r="CI96" s="5">
        <v>0</v>
      </c>
      <c r="CJ96" s="5">
        <v>0</v>
      </c>
      <c r="CK96" s="5">
        <v>0</v>
      </c>
      <c r="CL96" s="5">
        <f>(CD96+CE96/2+CF96/8+CG96/16+CH96/4+CJ96/32+CK96/16)*39</f>
        <v>4.875</v>
      </c>
      <c r="CM96" s="5">
        <v>0</v>
      </c>
      <c r="CN96" s="5">
        <v>0</v>
      </c>
      <c r="CO96" s="5">
        <v>0</v>
      </c>
      <c r="CP96" s="5">
        <v>0</v>
      </c>
      <c r="CQ96" s="5">
        <v>0</v>
      </c>
      <c r="CR96" t="s">
        <v>2691</v>
      </c>
      <c r="CS96">
        <f>22/12</f>
        <v>1.8333333333333333</v>
      </c>
      <c r="CT96">
        <v>0</v>
      </c>
      <c r="CU96">
        <v>0</v>
      </c>
      <c r="CV96">
        <v>0</v>
      </c>
      <c r="CW96">
        <f>CS96+CT96/24+CU96/48+CV96/48</f>
        <v>1.8333333333333333</v>
      </c>
      <c r="CX96">
        <v>0</v>
      </c>
      <c r="CY96" t="s">
        <v>2763</v>
      </c>
      <c r="CZ96" t="s">
        <v>210</v>
      </c>
      <c r="DA96" t="s">
        <v>1733</v>
      </c>
      <c r="DB96" t="s">
        <v>2706</v>
      </c>
      <c r="DC96" t="s">
        <v>262</v>
      </c>
      <c r="DD96" t="s">
        <v>693</v>
      </c>
      <c r="DE96" t="s">
        <v>3812</v>
      </c>
      <c r="DF96" t="s">
        <v>2682</v>
      </c>
    </row>
    <row r="97" spans="1:114" x14ac:dyDescent="0.25">
      <c r="A97">
        <v>1761</v>
      </c>
      <c r="B97" t="s">
        <v>788</v>
      </c>
      <c r="C97" t="s">
        <v>13</v>
      </c>
      <c r="D97" t="s">
        <v>2684</v>
      </c>
      <c r="E97" t="s">
        <v>2661</v>
      </c>
      <c r="H97" t="s">
        <v>3181</v>
      </c>
      <c r="I97" t="s">
        <v>219</v>
      </c>
      <c r="J97" s="5">
        <v>1343</v>
      </c>
      <c r="K97" t="s">
        <v>1082</v>
      </c>
      <c r="L97">
        <v>26</v>
      </c>
      <c r="M97" s="7" t="s">
        <v>338</v>
      </c>
      <c r="N97" t="s">
        <v>986</v>
      </c>
      <c r="V97" t="s">
        <v>1463</v>
      </c>
      <c r="W97" t="s">
        <v>225</v>
      </c>
      <c r="X97" t="s">
        <v>225</v>
      </c>
      <c r="Y97">
        <v>4</v>
      </c>
      <c r="Z97" t="s">
        <v>225</v>
      </c>
      <c r="AA97" t="s">
        <v>225</v>
      </c>
      <c r="AB97" t="s">
        <v>225</v>
      </c>
      <c r="AC97" t="s">
        <v>205</v>
      </c>
      <c r="AD97" t="s">
        <v>205</v>
      </c>
      <c r="AE97" t="s">
        <v>225</v>
      </c>
      <c r="AF97" t="s">
        <v>225</v>
      </c>
      <c r="AG97" t="s">
        <v>225</v>
      </c>
      <c r="AH97" t="s">
        <v>225</v>
      </c>
      <c r="AI97" t="s">
        <v>225</v>
      </c>
      <c r="AJ97" t="s">
        <v>225</v>
      </c>
      <c r="AK97" t="s">
        <v>225</v>
      </c>
      <c r="AL97" t="s">
        <v>225</v>
      </c>
      <c r="AM97" t="s">
        <v>225</v>
      </c>
      <c r="AN97" t="s">
        <v>225</v>
      </c>
      <c r="AO97" t="s">
        <v>225</v>
      </c>
      <c r="AP97">
        <v>1</v>
      </c>
      <c r="AQ97" t="s">
        <v>225</v>
      </c>
      <c r="AR97" t="s">
        <v>225</v>
      </c>
      <c r="AS97" t="s">
        <v>225</v>
      </c>
      <c r="AT97" t="s">
        <v>225</v>
      </c>
      <c r="AU97" t="s">
        <v>225</v>
      </c>
      <c r="AV97" t="s">
        <v>225</v>
      </c>
      <c r="AW97" t="s">
        <v>225</v>
      </c>
      <c r="AX97" t="s">
        <v>225</v>
      </c>
      <c r="AY97" t="s">
        <v>225</v>
      </c>
      <c r="AZ97" t="s">
        <v>225</v>
      </c>
      <c r="BA97" t="s">
        <v>225</v>
      </c>
      <c r="BB97" t="s">
        <v>225</v>
      </c>
      <c r="BC97" t="s">
        <v>225</v>
      </c>
      <c r="BD97">
        <v>2</v>
      </c>
      <c r="BE97" t="s">
        <v>225</v>
      </c>
      <c r="BF97" t="s">
        <v>225</v>
      </c>
      <c r="BG97" t="s">
        <v>225</v>
      </c>
      <c r="BH97" t="s">
        <v>225</v>
      </c>
      <c r="BI97" t="s">
        <v>225</v>
      </c>
      <c r="BJ97" t="s">
        <v>225</v>
      </c>
      <c r="BK97" t="s">
        <v>225</v>
      </c>
      <c r="BL97" t="s">
        <v>225</v>
      </c>
      <c r="BN97" t="s">
        <v>3195</v>
      </c>
      <c r="BP97" t="s">
        <v>1445</v>
      </c>
      <c r="BQ97" t="s">
        <v>539</v>
      </c>
      <c r="BR97" s="5">
        <v>0</v>
      </c>
      <c r="BS97" s="5">
        <v>0</v>
      </c>
      <c r="BT97" s="5">
        <v>0</v>
      </c>
      <c r="BU97" s="5">
        <f>(BS97/8+BT97/4)*39</f>
        <v>0</v>
      </c>
      <c r="BV97" s="5">
        <v>0</v>
      </c>
      <c r="BW97" s="5">
        <v>1</v>
      </c>
      <c r="BX97" s="5">
        <f>1+1/2</f>
        <v>1.5</v>
      </c>
      <c r="BY97" s="5">
        <v>0</v>
      </c>
      <c r="BZ97" s="5">
        <v>0</v>
      </c>
      <c r="CA97" s="5">
        <v>0</v>
      </c>
      <c r="CB97" s="5">
        <v>0</v>
      </c>
      <c r="CC97" s="5">
        <f>(BV97+BW97/2+BX97/8+BY97/16+BZ97/4+CA97/32)*39</f>
        <v>26.8125</v>
      </c>
      <c r="CD97" s="5">
        <v>0</v>
      </c>
      <c r="CE97" s="5">
        <f>1/2+1/2</f>
        <v>1</v>
      </c>
      <c r="CF97" s="5">
        <f>1/2+1/2</f>
        <v>1</v>
      </c>
      <c r="CG97" s="5">
        <v>0</v>
      </c>
      <c r="CH97" s="5">
        <v>0</v>
      </c>
      <c r="CI97" s="5">
        <v>0</v>
      </c>
      <c r="CJ97" s="5">
        <v>0</v>
      </c>
      <c r="CK97" s="5">
        <v>0</v>
      </c>
      <c r="CL97" s="5">
        <f>(CD97+CE97/2+CF97/8+CG97/16+CH97/4+CJ97/32+CK97/16)*39</f>
        <v>24.375</v>
      </c>
      <c r="CM97" s="5">
        <v>0</v>
      </c>
      <c r="CN97" s="5">
        <v>0</v>
      </c>
      <c r="CO97" s="5">
        <v>0</v>
      </c>
      <c r="CP97" s="5">
        <v>0</v>
      </c>
      <c r="CQ97" s="5">
        <v>0</v>
      </c>
      <c r="CR97" t="s">
        <v>3194</v>
      </c>
      <c r="CS97">
        <f>2+6/12+6/12+12/12+12/12+2+10/12</f>
        <v>7.833333333333333</v>
      </c>
      <c r="CT97">
        <v>0</v>
      </c>
      <c r="CU97">
        <v>0</v>
      </c>
      <c r="CV97">
        <v>0</v>
      </c>
      <c r="CW97">
        <f>CS97+CT97/24+CU97/48+CV97/48</f>
        <v>7.833333333333333</v>
      </c>
      <c r="CX97">
        <v>0</v>
      </c>
      <c r="CZ97" t="s">
        <v>210</v>
      </c>
      <c r="DC97" t="s">
        <v>262</v>
      </c>
      <c r="DD97" t="s">
        <v>693</v>
      </c>
      <c r="DE97" t="s">
        <v>3201</v>
      </c>
      <c r="DF97" t="s">
        <v>3199</v>
      </c>
      <c r="DG97" t="s">
        <v>3200</v>
      </c>
      <c r="DH97" t="s">
        <v>3202</v>
      </c>
    </row>
    <row r="98" spans="1:114" x14ac:dyDescent="0.25">
      <c r="A98">
        <v>1582</v>
      </c>
      <c r="C98" s="15" t="s">
        <v>17</v>
      </c>
      <c r="D98" t="s">
        <v>2752</v>
      </c>
      <c r="E98" t="s">
        <v>2018</v>
      </c>
      <c r="G98" t="s">
        <v>3807</v>
      </c>
      <c r="H98" t="s">
        <v>2753</v>
      </c>
      <c r="I98" t="s">
        <v>220</v>
      </c>
      <c r="J98" s="5">
        <v>1343</v>
      </c>
      <c r="K98" t="s">
        <v>817</v>
      </c>
      <c r="L98">
        <v>19</v>
      </c>
      <c r="M98" s="8" t="s">
        <v>338</v>
      </c>
      <c r="N98" t="s">
        <v>236</v>
      </c>
      <c r="P98" t="s">
        <v>225</v>
      </c>
      <c r="Q98" t="s">
        <v>205</v>
      </c>
      <c r="R98" t="s">
        <v>205</v>
      </c>
      <c r="S98" t="s">
        <v>205</v>
      </c>
      <c r="T98" t="s">
        <v>225</v>
      </c>
      <c r="U98" t="s">
        <v>278</v>
      </c>
      <c r="W98" t="s">
        <v>225</v>
      </c>
      <c r="X98">
        <v>1</v>
      </c>
      <c r="Y98">
        <v>1</v>
      </c>
      <c r="Z98" t="s">
        <v>225</v>
      </c>
      <c r="AA98" t="s">
        <v>225</v>
      </c>
      <c r="AB98" t="s">
        <v>225</v>
      </c>
      <c r="AC98" t="s">
        <v>225</v>
      </c>
      <c r="AD98" t="s">
        <v>225</v>
      </c>
      <c r="AE98">
        <v>1</v>
      </c>
      <c r="AF98" t="s">
        <v>225</v>
      </c>
      <c r="AG98" t="s">
        <v>225</v>
      </c>
      <c r="AH98" t="s">
        <v>225</v>
      </c>
      <c r="AI98" t="s">
        <v>225</v>
      </c>
      <c r="AJ98" t="s">
        <v>225</v>
      </c>
      <c r="AK98" t="s">
        <v>225</v>
      </c>
      <c r="AL98" t="s">
        <v>225</v>
      </c>
      <c r="AM98" t="s">
        <v>225</v>
      </c>
      <c r="AN98" t="s">
        <v>225</v>
      </c>
      <c r="AO98" t="s">
        <v>225</v>
      </c>
      <c r="AP98">
        <v>5</v>
      </c>
      <c r="AQ98" t="s">
        <v>225</v>
      </c>
      <c r="AR98" t="s">
        <v>225</v>
      </c>
      <c r="AS98" t="s">
        <v>225</v>
      </c>
      <c r="AT98" t="s">
        <v>225</v>
      </c>
      <c r="AU98" t="s">
        <v>225</v>
      </c>
      <c r="AV98" t="s">
        <v>225</v>
      </c>
      <c r="AW98" t="s">
        <v>225</v>
      </c>
      <c r="AX98" t="s">
        <v>225</v>
      </c>
      <c r="AY98" t="s">
        <v>225</v>
      </c>
      <c r="AZ98" t="s">
        <v>225</v>
      </c>
      <c r="BA98" t="s">
        <v>225</v>
      </c>
      <c r="BB98" t="s">
        <v>225</v>
      </c>
      <c r="BC98" t="s">
        <v>225</v>
      </c>
      <c r="BD98" t="s">
        <v>225</v>
      </c>
      <c r="BE98" t="s">
        <v>225</v>
      </c>
      <c r="BF98" t="s">
        <v>225</v>
      </c>
      <c r="BG98" t="s">
        <v>225</v>
      </c>
      <c r="BH98" t="s">
        <v>225</v>
      </c>
      <c r="BI98" t="s">
        <v>225</v>
      </c>
      <c r="BJ98" t="s">
        <v>225</v>
      </c>
      <c r="BK98" t="s">
        <v>225</v>
      </c>
      <c r="BL98" t="s">
        <v>225</v>
      </c>
      <c r="BN98" t="s">
        <v>2766</v>
      </c>
      <c r="BO98" t="s">
        <v>2765</v>
      </c>
      <c r="BP98" t="s">
        <v>1245</v>
      </c>
      <c r="BQ98" t="s">
        <v>539</v>
      </c>
      <c r="BR98" s="5">
        <f>1/6</f>
        <v>0.16666666666666666</v>
      </c>
      <c r="BS98" s="5">
        <v>0</v>
      </c>
      <c r="BT98" s="5">
        <v>0</v>
      </c>
      <c r="BU98" s="5">
        <f>(BS98/8+BT98/4)*39</f>
        <v>0</v>
      </c>
      <c r="BV98" s="5">
        <v>0</v>
      </c>
      <c r="BW98" s="5">
        <v>0</v>
      </c>
      <c r="BX98" s="5">
        <v>1</v>
      </c>
      <c r="BY98" s="5">
        <v>0</v>
      </c>
      <c r="BZ98" s="5">
        <v>0</v>
      </c>
      <c r="CA98" s="5">
        <v>0</v>
      </c>
      <c r="CB98" s="5">
        <v>0</v>
      </c>
      <c r="CC98" s="5">
        <f>(BV98+BW98/2+BX98/8+BY98/16+BZ98/4+CA98/32)*39</f>
        <v>4.875</v>
      </c>
      <c r="CD98" s="5">
        <v>0</v>
      </c>
      <c r="CE98" s="5">
        <v>0</v>
      </c>
      <c r="CF98" s="5">
        <f>1/2</f>
        <v>0.5</v>
      </c>
      <c r="CG98" s="5">
        <v>0</v>
      </c>
      <c r="CH98" s="5">
        <v>0</v>
      </c>
      <c r="CI98" s="5">
        <v>0</v>
      </c>
      <c r="CJ98" s="5">
        <v>0</v>
      </c>
      <c r="CK98" s="5">
        <v>0</v>
      </c>
      <c r="CL98" s="5">
        <f>(CD98+CE98/2+CF98/8+CG98/16+CH98/4+CJ98/32+CK98/16)*39</f>
        <v>2.4375</v>
      </c>
      <c r="CM98" s="5">
        <v>0</v>
      </c>
      <c r="CN98" s="5">
        <v>0</v>
      </c>
      <c r="CO98" s="5">
        <v>0</v>
      </c>
      <c r="CP98" s="5">
        <v>0</v>
      </c>
      <c r="CQ98" s="5">
        <v>0</v>
      </c>
      <c r="CR98" t="s">
        <v>2761</v>
      </c>
      <c r="CS98">
        <f>12/12</f>
        <v>1</v>
      </c>
      <c r="CT98">
        <v>0</v>
      </c>
      <c r="CU98">
        <v>0</v>
      </c>
      <c r="CV98">
        <v>0</v>
      </c>
      <c r="CW98">
        <f>CS98+CT98/24+CU98/48+CV98/48</f>
        <v>1</v>
      </c>
      <c r="CX98">
        <v>0</v>
      </c>
      <c r="CY98" t="s">
        <v>2762</v>
      </c>
      <c r="CZ98" t="s">
        <v>210</v>
      </c>
      <c r="DA98" t="s">
        <v>1733</v>
      </c>
      <c r="DB98" t="s">
        <v>2724</v>
      </c>
      <c r="DC98" t="s">
        <v>262</v>
      </c>
      <c r="DD98" t="s">
        <v>693</v>
      </c>
      <c r="DE98" t="s">
        <v>2749</v>
      </c>
      <c r="DF98" t="s">
        <v>2768</v>
      </c>
    </row>
    <row r="99" spans="1:114" x14ac:dyDescent="0.25">
      <c r="A99">
        <v>1872</v>
      </c>
      <c r="C99" t="s">
        <v>107</v>
      </c>
      <c r="D99" t="s">
        <v>3530</v>
      </c>
      <c r="E99" t="s">
        <v>2018</v>
      </c>
      <c r="I99" t="s">
        <v>219</v>
      </c>
      <c r="J99" s="5">
        <v>1346</v>
      </c>
      <c r="K99" t="s">
        <v>265</v>
      </c>
      <c r="L99">
        <v>29</v>
      </c>
      <c r="M99" s="7" t="s">
        <v>338</v>
      </c>
      <c r="N99" t="s">
        <v>1612</v>
      </c>
      <c r="O99" t="s">
        <v>201</v>
      </c>
      <c r="P99" t="s">
        <v>225</v>
      </c>
      <c r="Q99" t="s">
        <v>205</v>
      </c>
      <c r="R99" t="s">
        <v>225</v>
      </c>
      <c r="S99" t="s">
        <v>205</v>
      </c>
      <c r="T99" t="s">
        <v>225</v>
      </c>
      <c r="W99" t="s">
        <v>225</v>
      </c>
      <c r="X99" t="s">
        <v>225</v>
      </c>
      <c r="Y99">
        <v>1</v>
      </c>
      <c r="Z99" t="s">
        <v>225</v>
      </c>
      <c r="AA99" t="s">
        <v>225</v>
      </c>
      <c r="AB99" t="s">
        <v>225</v>
      </c>
      <c r="AC99" t="s">
        <v>225</v>
      </c>
      <c r="AD99">
        <v>1</v>
      </c>
      <c r="AE99" t="s">
        <v>225</v>
      </c>
      <c r="AF99" t="s">
        <v>225</v>
      </c>
      <c r="AG99" t="s">
        <v>225</v>
      </c>
      <c r="AH99" t="s">
        <v>225</v>
      </c>
      <c r="AI99" t="s">
        <v>225</v>
      </c>
      <c r="AJ99" t="s">
        <v>225</v>
      </c>
      <c r="AK99" t="s">
        <v>225</v>
      </c>
      <c r="AL99" t="s">
        <v>225</v>
      </c>
      <c r="AM99" t="s">
        <v>225</v>
      </c>
      <c r="AN99" t="s">
        <v>225</v>
      </c>
      <c r="AO99" t="s">
        <v>225</v>
      </c>
      <c r="AP99" t="s">
        <v>225</v>
      </c>
      <c r="AQ99" t="s">
        <v>225</v>
      </c>
      <c r="AR99" t="s">
        <v>225</v>
      </c>
      <c r="AS99" t="s">
        <v>225</v>
      </c>
      <c r="AT99" t="s">
        <v>225</v>
      </c>
      <c r="AU99" t="s">
        <v>225</v>
      </c>
      <c r="AV99" t="s">
        <v>225</v>
      </c>
      <c r="AW99" t="s">
        <v>225</v>
      </c>
      <c r="AX99" t="s">
        <v>225</v>
      </c>
      <c r="AY99" t="s">
        <v>225</v>
      </c>
      <c r="AZ99" t="s">
        <v>225</v>
      </c>
      <c r="BA99" t="s">
        <v>225</v>
      </c>
      <c r="BB99" t="s">
        <v>225</v>
      </c>
      <c r="BC99" t="s">
        <v>225</v>
      </c>
      <c r="BD99" t="s">
        <v>225</v>
      </c>
      <c r="BE99" t="s">
        <v>225</v>
      </c>
      <c r="BF99" t="s">
        <v>225</v>
      </c>
      <c r="BG99" t="s">
        <v>225</v>
      </c>
      <c r="BH99" t="s">
        <v>225</v>
      </c>
      <c r="BI99" t="s">
        <v>225</v>
      </c>
      <c r="BJ99" t="s">
        <v>225</v>
      </c>
      <c r="BK99" t="s">
        <v>225</v>
      </c>
      <c r="BL99" t="s">
        <v>225</v>
      </c>
      <c r="BN99" t="s">
        <v>3532</v>
      </c>
      <c r="BQ99" t="s">
        <v>539</v>
      </c>
      <c r="BR99" s="5">
        <v>0</v>
      </c>
      <c r="BS99" s="5">
        <v>0</v>
      </c>
      <c r="BT99" s="5">
        <v>0</v>
      </c>
      <c r="BU99" s="5">
        <f>(BS99/8+BT99/4)*39</f>
        <v>0</v>
      </c>
      <c r="BV99" s="5">
        <v>0</v>
      </c>
      <c r="BW99" s="5">
        <v>0</v>
      </c>
      <c r="BX99" s="5">
        <v>0</v>
      </c>
      <c r="BY99" s="5">
        <v>1</v>
      </c>
      <c r="BZ99" s="5">
        <v>0</v>
      </c>
      <c r="CA99" s="5">
        <v>0</v>
      </c>
      <c r="CB99" s="5">
        <v>0</v>
      </c>
      <c r="CC99" s="5">
        <f>(BV99+BW99/2+BX99/8+BY99/16+BZ99/4+CA99/32)*39</f>
        <v>2.4375</v>
      </c>
      <c r="CD99" s="5">
        <v>0</v>
      </c>
      <c r="CE99" s="5">
        <v>0</v>
      </c>
      <c r="CF99" s="5">
        <v>0</v>
      </c>
      <c r="CG99" s="5">
        <f>1/2</f>
        <v>0.5</v>
      </c>
      <c r="CH99" s="5">
        <v>0</v>
      </c>
      <c r="CI99" s="5">
        <v>0</v>
      </c>
      <c r="CJ99" s="5">
        <v>0</v>
      </c>
      <c r="CK99" s="5">
        <v>0</v>
      </c>
      <c r="CL99" s="5">
        <f>(CD99+CE99/2+CF99/8+CG99/16+CH99/4+CJ99/32+CK99/16)*39</f>
        <v>1.21875</v>
      </c>
      <c r="CM99" s="5">
        <v>0</v>
      </c>
      <c r="CN99" s="5">
        <v>0</v>
      </c>
      <c r="CO99" s="5">
        <v>0</v>
      </c>
      <c r="CP99" s="5">
        <v>0</v>
      </c>
      <c r="CQ99" s="5">
        <v>0</v>
      </c>
      <c r="CS99">
        <f>4/12</f>
        <v>0.33333333333333331</v>
      </c>
      <c r="CT99">
        <v>0</v>
      </c>
      <c r="CU99">
        <v>0</v>
      </c>
      <c r="CV99">
        <v>0</v>
      </c>
      <c r="CW99">
        <f>CS99+CT99/24+CU99/48+CV99/48</f>
        <v>0.33333333333333331</v>
      </c>
      <c r="CX99">
        <v>0</v>
      </c>
      <c r="CZ99" t="s">
        <v>210</v>
      </c>
      <c r="DC99" t="s">
        <v>3533</v>
      </c>
      <c r="DD99" t="s">
        <v>693</v>
      </c>
      <c r="DE99" t="s">
        <v>3534</v>
      </c>
      <c r="DF99" t="s">
        <v>3535</v>
      </c>
      <c r="DG99" t="s">
        <v>3536</v>
      </c>
    </row>
    <row r="100" spans="1:114" x14ac:dyDescent="0.25">
      <c r="A100">
        <v>601</v>
      </c>
      <c r="C100" t="s">
        <v>670</v>
      </c>
      <c r="D100" t="s">
        <v>3761</v>
      </c>
      <c r="E100" t="s">
        <v>671</v>
      </c>
      <c r="I100" t="s">
        <v>219</v>
      </c>
      <c r="J100">
        <v>1343</v>
      </c>
      <c r="K100" t="s">
        <v>249</v>
      </c>
      <c r="L100">
        <v>29</v>
      </c>
      <c r="M100" s="7" t="s">
        <v>338</v>
      </c>
      <c r="N100" t="s">
        <v>236</v>
      </c>
      <c r="O100" t="s">
        <v>201</v>
      </c>
      <c r="P100" t="s">
        <v>225</v>
      </c>
      <c r="Q100" s="19" t="s">
        <v>205</v>
      </c>
      <c r="R100" t="s">
        <v>205</v>
      </c>
      <c r="S100" t="s">
        <v>205</v>
      </c>
      <c r="T100" t="s">
        <v>225</v>
      </c>
      <c r="V100" t="s">
        <v>204</v>
      </c>
      <c r="W100" t="s">
        <v>205</v>
      </c>
      <c r="X100" t="s">
        <v>225</v>
      </c>
      <c r="Y100" t="s">
        <v>225</v>
      </c>
      <c r="Z100" t="s">
        <v>225</v>
      </c>
      <c r="AA100" t="s">
        <v>225</v>
      </c>
      <c r="AB100" t="s">
        <v>225</v>
      </c>
      <c r="AC100" t="s">
        <v>205</v>
      </c>
      <c r="AD100" t="s">
        <v>225</v>
      </c>
      <c r="AE100" t="s">
        <v>225</v>
      </c>
      <c r="AF100" t="s">
        <v>225</v>
      </c>
      <c r="AG100" t="s">
        <v>225</v>
      </c>
      <c r="AH100" t="s">
        <v>225</v>
      </c>
      <c r="AI100" t="s">
        <v>225</v>
      </c>
      <c r="AJ100" t="s">
        <v>225</v>
      </c>
      <c r="AK100" t="s">
        <v>225</v>
      </c>
      <c r="AL100" t="s">
        <v>225</v>
      </c>
      <c r="AM100" t="s">
        <v>225</v>
      </c>
      <c r="AN100" t="s">
        <v>225</v>
      </c>
      <c r="AO100" t="s">
        <v>225</v>
      </c>
      <c r="AP100">
        <v>3</v>
      </c>
      <c r="AQ100" t="s">
        <v>225</v>
      </c>
      <c r="AR100" t="s">
        <v>225</v>
      </c>
      <c r="AS100" t="s">
        <v>225</v>
      </c>
      <c r="AT100" t="s">
        <v>225</v>
      </c>
      <c r="AU100" t="s">
        <v>225</v>
      </c>
      <c r="AV100" t="s">
        <v>225</v>
      </c>
      <c r="AW100" t="s">
        <v>225</v>
      </c>
      <c r="AX100" t="s">
        <v>225</v>
      </c>
      <c r="AY100" t="s">
        <v>225</v>
      </c>
      <c r="AZ100" t="s">
        <v>225</v>
      </c>
      <c r="BA100" t="s">
        <v>225</v>
      </c>
      <c r="BB100" t="s">
        <v>225</v>
      </c>
      <c r="BC100" t="s">
        <v>225</v>
      </c>
      <c r="BD100" t="s">
        <v>225</v>
      </c>
      <c r="BE100" t="s">
        <v>225</v>
      </c>
      <c r="BF100" t="s">
        <v>225</v>
      </c>
      <c r="BG100" t="s">
        <v>225</v>
      </c>
      <c r="BH100" t="s">
        <v>225</v>
      </c>
      <c r="BI100" t="s">
        <v>225</v>
      </c>
      <c r="BJ100" t="s">
        <v>225</v>
      </c>
      <c r="BK100" t="s">
        <v>225</v>
      </c>
      <c r="BL100" t="s">
        <v>205</v>
      </c>
      <c r="BN100" t="s">
        <v>682</v>
      </c>
      <c r="BO100" t="s">
        <v>588</v>
      </c>
      <c r="BQ100" t="s">
        <v>3561</v>
      </c>
      <c r="BR100">
        <f>1/3</f>
        <v>0.33333333333333331</v>
      </c>
      <c r="BS100">
        <v>0</v>
      </c>
      <c r="BT100">
        <v>0</v>
      </c>
      <c r="BU100" s="5">
        <f>(BS100/8+BT100/4)*39</f>
        <v>0</v>
      </c>
      <c r="BV100">
        <v>0</v>
      </c>
      <c r="BW100">
        <v>0</v>
      </c>
      <c r="BX100" s="5">
        <f>3+1/3</f>
        <v>3.3333333333333335</v>
      </c>
      <c r="BY100">
        <v>0</v>
      </c>
      <c r="BZ100">
        <v>2</v>
      </c>
      <c r="CA100">
        <v>0</v>
      </c>
      <c r="CB100">
        <v>0</v>
      </c>
      <c r="CC100" s="5">
        <f>(BV100+BW100/2+BX100/8+BY100/16+BZ100/4+CA100/32)*39</f>
        <v>35.75</v>
      </c>
      <c r="CD100">
        <v>0</v>
      </c>
      <c r="CE100">
        <v>0</v>
      </c>
      <c r="CF100" s="5">
        <v>0</v>
      </c>
      <c r="CG100" s="5">
        <v>0</v>
      </c>
      <c r="CH100" s="5">
        <v>1</v>
      </c>
      <c r="CI100">
        <v>0</v>
      </c>
      <c r="CJ100">
        <v>0</v>
      </c>
      <c r="CK100">
        <v>0</v>
      </c>
      <c r="CL100" s="5">
        <f>(CD100+CE100/2+CF100/8+CG100/16+CH100/4+CJ100/32+CK100/16)*39</f>
        <v>9.75</v>
      </c>
      <c r="CM100">
        <v>0</v>
      </c>
      <c r="CN100">
        <v>0</v>
      </c>
      <c r="CO100">
        <v>0</v>
      </c>
      <c r="CP100">
        <v>0</v>
      </c>
      <c r="CQ100">
        <v>0</v>
      </c>
      <c r="CR100" t="s">
        <v>682</v>
      </c>
      <c r="CS100">
        <f>3+4/12+4/12</f>
        <v>3.666666666666667</v>
      </c>
      <c r="CT100">
        <v>0</v>
      </c>
      <c r="CU100">
        <v>0</v>
      </c>
      <c r="CV100">
        <v>0</v>
      </c>
      <c r="CW100">
        <f>CS100+CT100/24+CU100/48+CV100/48</f>
        <v>3.666666666666667</v>
      </c>
      <c r="CX100">
        <v>0</v>
      </c>
      <c r="CY100" t="s">
        <v>672</v>
      </c>
      <c r="CZ100" t="s">
        <v>210</v>
      </c>
      <c r="DC100" t="s">
        <v>262</v>
      </c>
      <c r="DD100" t="s">
        <v>693</v>
      </c>
      <c r="DE100" t="s">
        <v>684</v>
      </c>
      <c r="DF100" t="s">
        <v>683</v>
      </c>
    </row>
    <row r="101" spans="1:114" x14ac:dyDescent="0.25">
      <c r="A101">
        <v>611</v>
      </c>
      <c r="C101" t="s">
        <v>13</v>
      </c>
      <c r="D101" t="s">
        <v>3761</v>
      </c>
      <c r="E101" t="s">
        <v>671</v>
      </c>
      <c r="H101" t="s">
        <v>690</v>
      </c>
      <c r="I101" t="s">
        <v>219</v>
      </c>
      <c r="J101">
        <v>1343</v>
      </c>
      <c r="K101" t="s">
        <v>249</v>
      </c>
      <c r="L101">
        <v>29</v>
      </c>
      <c r="M101" s="7" t="s">
        <v>338</v>
      </c>
      <c r="N101" t="s">
        <v>236</v>
      </c>
      <c r="O101" t="s">
        <v>201</v>
      </c>
      <c r="P101" t="s">
        <v>225</v>
      </c>
      <c r="Q101" s="19" t="s">
        <v>205</v>
      </c>
      <c r="R101" t="s">
        <v>205</v>
      </c>
      <c r="S101" t="s">
        <v>205</v>
      </c>
      <c r="T101" t="s">
        <v>225</v>
      </c>
      <c r="U101" t="s">
        <v>277</v>
      </c>
      <c r="V101" t="s">
        <v>204</v>
      </c>
      <c r="W101">
        <v>1</v>
      </c>
      <c r="X101" t="s">
        <v>205</v>
      </c>
      <c r="Y101" t="s">
        <v>205</v>
      </c>
      <c r="Z101" t="s">
        <v>205</v>
      </c>
      <c r="AA101" t="s">
        <v>225</v>
      </c>
      <c r="AB101" t="s">
        <v>205</v>
      </c>
      <c r="AC101" t="s">
        <v>225</v>
      </c>
      <c r="AD101" t="s">
        <v>205</v>
      </c>
      <c r="AE101" t="s">
        <v>225</v>
      </c>
      <c r="AF101" t="s">
        <v>225</v>
      </c>
      <c r="AG101" t="s">
        <v>225</v>
      </c>
      <c r="AH101" t="s">
        <v>225</v>
      </c>
      <c r="AI101" t="s">
        <v>225</v>
      </c>
      <c r="AJ101" t="s">
        <v>225</v>
      </c>
      <c r="AK101" t="s">
        <v>225</v>
      </c>
      <c r="AL101" t="s">
        <v>225</v>
      </c>
      <c r="AM101" t="s">
        <v>225</v>
      </c>
      <c r="AN101" t="s">
        <v>225</v>
      </c>
      <c r="AO101" t="s">
        <v>225</v>
      </c>
      <c r="AP101" t="s">
        <v>225</v>
      </c>
      <c r="AQ101" t="s">
        <v>225</v>
      </c>
      <c r="AR101" t="s">
        <v>225</v>
      </c>
      <c r="AS101" t="s">
        <v>225</v>
      </c>
      <c r="AT101" t="s">
        <v>225</v>
      </c>
      <c r="AU101" t="s">
        <v>225</v>
      </c>
      <c r="AV101" t="s">
        <v>225</v>
      </c>
      <c r="AW101" t="s">
        <v>225</v>
      </c>
      <c r="AX101" t="s">
        <v>225</v>
      </c>
      <c r="AY101" t="s">
        <v>225</v>
      </c>
      <c r="AZ101" t="s">
        <v>225</v>
      </c>
      <c r="BA101" t="s">
        <v>225</v>
      </c>
      <c r="BB101" t="s">
        <v>225</v>
      </c>
      <c r="BC101" t="s">
        <v>225</v>
      </c>
      <c r="BD101" t="s">
        <v>225</v>
      </c>
      <c r="BE101" t="s">
        <v>225</v>
      </c>
      <c r="BF101" t="s">
        <v>225</v>
      </c>
      <c r="BG101" t="s">
        <v>225</v>
      </c>
      <c r="BH101" t="s">
        <v>225</v>
      </c>
      <c r="BI101" t="s">
        <v>225</v>
      </c>
      <c r="BJ101" t="s">
        <v>225</v>
      </c>
      <c r="BK101" t="s">
        <v>225</v>
      </c>
      <c r="BL101" t="s">
        <v>205</v>
      </c>
      <c r="BO101" t="s">
        <v>685</v>
      </c>
      <c r="BP101" t="s">
        <v>461</v>
      </c>
      <c r="BQ101" t="s">
        <v>3561</v>
      </c>
      <c r="BR101">
        <f>1/6</f>
        <v>0.16666666666666666</v>
      </c>
      <c r="BS101">
        <v>0</v>
      </c>
      <c r="BT101">
        <v>0</v>
      </c>
      <c r="BU101" s="5">
        <f>(BS101/8+BT101/4)*39</f>
        <v>0</v>
      </c>
      <c r="BV101">
        <v>0</v>
      </c>
      <c r="BW101">
        <v>0</v>
      </c>
      <c r="BX101" s="5">
        <f>1.5+1/6+6</f>
        <v>7.666666666666667</v>
      </c>
      <c r="BY101">
        <v>0</v>
      </c>
      <c r="BZ101">
        <v>0</v>
      </c>
      <c r="CA101">
        <v>0</v>
      </c>
      <c r="CB101">
        <v>0</v>
      </c>
      <c r="CC101" s="5">
        <f>(BV101+BW101/2+BX101/8+BY101/16+BZ101/4+CA101/32)*39</f>
        <v>37.375</v>
      </c>
      <c r="CD101">
        <v>0</v>
      </c>
      <c r="CE101">
        <v>0</v>
      </c>
      <c r="CF101" s="5">
        <f>1+1.5</f>
        <v>2.5</v>
      </c>
      <c r="CG101" s="5">
        <v>0</v>
      </c>
      <c r="CH101" s="5">
        <v>0</v>
      </c>
      <c r="CI101">
        <v>0</v>
      </c>
      <c r="CJ101">
        <v>0</v>
      </c>
      <c r="CK101">
        <v>0</v>
      </c>
      <c r="CL101" s="5">
        <f>(CD101+CE101/2+CF101/8+CG101/16+CH101/4+CJ101/32+CK101/16)*39</f>
        <v>12.1875</v>
      </c>
      <c r="CM101">
        <v>0</v>
      </c>
      <c r="CN101">
        <v>0</v>
      </c>
      <c r="CO101">
        <v>0</v>
      </c>
      <c r="CP101">
        <v>0</v>
      </c>
      <c r="CQ101">
        <v>0</v>
      </c>
      <c r="CS101">
        <f>20/12+4/12+4</f>
        <v>6</v>
      </c>
      <c r="CT101">
        <v>-1</v>
      </c>
      <c r="CU101">
        <v>0</v>
      </c>
      <c r="CV101">
        <v>0</v>
      </c>
      <c r="CW101">
        <f>CS101+CT101/24+CU101/48+CV101/48</f>
        <v>5.958333333333333</v>
      </c>
      <c r="CX101">
        <v>0</v>
      </c>
      <c r="CY101" t="s">
        <v>686</v>
      </c>
      <c r="CZ101" t="s">
        <v>210</v>
      </c>
      <c r="DB101" t="s">
        <v>691</v>
      </c>
      <c r="DC101" t="s">
        <v>262</v>
      </c>
      <c r="DD101" t="s">
        <v>693</v>
      </c>
      <c r="DE101" t="s">
        <v>752</v>
      </c>
      <c r="DF101" t="s">
        <v>749</v>
      </c>
      <c r="DG101" t="s">
        <v>600</v>
      </c>
      <c r="DJ101" t="s">
        <v>483</v>
      </c>
    </row>
    <row r="102" spans="1:114" x14ac:dyDescent="0.25">
      <c r="A102">
        <v>621</v>
      </c>
      <c r="C102" t="s">
        <v>98</v>
      </c>
      <c r="D102" t="s">
        <v>3761</v>
      </c>
      <c r="E102" t="s">
        <v>671</v>
      </c>
      <c r="I102" t="s">
        <v>219</v>
      </c>
      <c r="J102">
        <v>1343</v>
      </c>
      <c r="K102" t="s">
        <v>249</v>
      </c>
      <c r="L102">
        <v>29</v>
      </c>
      <c r="M102" s="7" t="s">
        <v>338</v>
      </c>
      <c r="N102" t="s">
        <v>236</v>
      </c>
      <c r="O102" t="s">
        <v>201</v>
      </c>
      <c r="P102" t="s">
        <v>225</v>
      </c>
      <c r="Q102" s="19" t="s">
        <v>205</v>
      </c>
      <c r="R102" t="s">
        <v>205</v>
      </c>
      <c r="S102" t="s">
        <v>205</v>
      </c>
      <c r="T102" t="s">
        <v>225</v>
      </c>
      <c r="U102" t="s">
        <v>277</v>
      </c>
      <c r="V102" t="s">
        <v>204</v>
      </c>
      <c r="W102">
        <v>1</v>
      </c>
      <c r="X102" t="s">
        <v>225</v>
      </c>
      <c r="Y102" t="s">
        <v>205</v>
      </c>
      <c r="Z102" t="s">
        <v>225</v>
      </c>
      <c r="AA102" t="s">
        <v>225</v>
      </c>
      <c r="AB102" t="s">
        <v>225</v>
      </c>
      <c r="AC102" t="s">
        <v>225</v>
      </c>
      <c r="AD102" t="s">
        <v>205</v>
      </c>
      <c r="AE102" t="s">
        <v>225</v>
      </c>
      <c r="AF102" t="s">
        <v>225</v>
      </c>
      <c r="AG102" t="s">
        <v>225</v>
      </c>
      <c r="AH102" t="s">
        <v>225</v>
      </c>
      <c r="AI102" t="s">
        <v>225</v>
      </c>
      <c r="AJ102" t="s">
        <v>225</v>
      </c>
      <c r="AK102" t="s">
        <v>225</v>
      </c>
      <c r="AL102" t="s">
        <v>225</v>
      </c>
      <c r="AM102" t="s">
        <v>225</v>
      </c>
      <c r="AN102" t="s">
        <v>225</v>
      </c>
      <c r="AO102" t="s">
        <v>225</v>
      </c>
      <c r="AP102" t="s">
        <v>225</v>
      </c>
      <c r="AQ102" t="s">
        <v>225</v>
      </c>
      <c r="AR102" t="s">
        <v>225</v>
      </c>
      <c r="AS102" t="s">
        <v>225</v>
      </c>
      <c r="AT102" t="s">
        <v>225</v>
      </c>
      <c r="AU102" t="s">
        <v>225</v>
      </c>
      <c r="AV102" t="s">
        <v>225</v>
      </c>
      <c r="AW102" t="s">
        <v>225</v>
      </c>
      <c r="AX102" t="s">
        <v>225</v>
      </c>
      <c r="AY102" t="s">
        <v>225</v>
      </c>
      <c r="AZ102" t="s">
        <v>225</v>
      </c>
      <c r="BA102" t="s">
        <v>225</v>
      </c>
      <c r="BB102" t="s">
        <v>225</v>
      </c>
      <c r="BC102" t="s">
        <v>225</v>
      </c>
      <c r="BD102" t="s">
        <v>225</v>
      </c>
      <c r="BE102" t="s">
        <v>225</v>
      </c>
      <c r="BF102" t="s">
        <v>225</v>
      </c>
      <c r="BG102" t="s">
        <v>225</v>
      </c>
      <c r="BH102" t="s">
        <v>225</v>
      </c>
      <c r="BI102" t="s">
        <v>225</v>
      </c>
      <c r="BJ102" t="s">
        <v>225</v>
      </c>
      <c r="BK102" t="s">
        <v>225</v>
      </c>
      <c r="BL102" t="s">
        <v>205</v>
      </c>
      <c r="BO102" t="s">
        <v>685</v>
      </c>
      <c r="BQ102" t="s">
        <v>539</v>
      </c>
      <c r="BR102">
        <f>1/6</f>
        <v>0.16666666666666666</v>
      </c>
      <c r="BS102">
        <v>0</v>
      </c>
      <c r="BT102">
        <v>0</v>
      </c>
      <c r="BU102" s="5">
        <f>(BS102/8+BT102/4)*39</f>
        <v>0</v>
      </c>
      <c r="BV102">
        <v>0</v>
      </c>
      <c r="BW102">
        <v>0</v>
      </c>
      <c r="BX102" s="5">
        <f>1+1/2+1/7</f>
        <v>1.6428571428571428</v>
      </c>
      <c r="BY102">
        <v>0</v>
      </c>
      <c r="BZ102">
        <v>0</v>
      </c>
      <c r="CA102">
        <v>0</v>
      </c>
      <c r="CB102">
        <v>0</v>
      </c>
      <c r="CC102" s="5">
        <f>(BV102+BW102/2+BX102/8+BY102/16+BZ102/4+CA102/32)*39</f>
        <v>8.0089285714285712</v>
      </c>
      <c r="CD102">
        <v>0</v>
      </c>
      <c r="CE102">
        <v>0</v>
      </c>
      <c r="CF102" s="5">
        <v>1</v>
      </c>
      <c r="CG102" s="5">
        <v>0</v>
      </c>
      <c r="CH102" s="5">
        <v>0</v>
      </c>
      <c r="CI102">
        <v>0</v>
      </c>
      <c r="CJ102">
        <v>0</v>
      </c>
      <c r="CK102">
        <v>0</v>
      </c>
      <c r="CL102" s="5">
        <f>(CD102+CE102/2+CF102/8+CG102/16+CH102/4+CJ102/32+CK102/16)*39</f>
        <v>4.875</v>
      </c>
      <c r="CM102">
        <v>0</v>
      </c>
      <c r="CN102">
        <v>0</v>
      </c>
      <c r="CO102">
        <v>0</v>
      </c>
      <c r="CP102">
        <v>0</v>
      </c>
      <c r="CQ102">
        <v>0</v>
      </c>
      <c r="CS102">
        <f>20/12</f>
        <v>1.6666666666666667</v>
      </c>
      <c r="CT102">
        <v>0</v>
      </c>
      <c r="CU102">
        <v>0</v>
      </c>
      <c r="CV102">
        <v>0</v>
      </c>
      <c r="CW102">
        <f>CS102+CT102/24+CU102/48+CV102/48</f>
        <v>1.6666666666666667</v>
      </c>
      <c r="CX102">
        <v>0</v>
      </c>
      <c r="CZ102" t="s">
        <v>210</v>
      </c>
      <c r="DB102" t="s">
        <v>891</v>
      </c>
      <c r="DC102" t="s">
        <v>262</v>
      </c>
      <c r="DD102" t="s">
        <v>693</v>
      </c>
      <c r="DE102" t="s">
        <v>752</v>
      </c>
      <c r="DF102" t="s">
        <v>749</v>
      </c>
      <c r="DG102" t="s">
        <v>600</v>
      </c>
      <c r="DJ102" t="s">
        <v>483</v>
      </c>
    </row>
    <row r="103" spans="1:114" x14ac:dyDescent="0.25">
      <c r="A103">
        <v>651</v>
      </c>
      <c r="C103" t="s">
        <v>1572</v>
      </c>
      <c r="D103" t="s">
        <v>3761</v>
      </c>
      <c r="E103" t="s">
        <v>671</v>
      </c>
      <c r="G103" t="s">
        <v>695</v>
      </c>
      <c r="H103" t="s">
        <v>696</v>
      </c>
      <c r="I103" t="s">
        <v>219</v>
      </c>
      <c r="J103">
        <v>1343</v>
      </c>
      <c r="K103" t="s">
        <v>249</v>
      </c>
      <c r="L103">
        <v>29</v>
      </c>
      <c r="M103" s="7" t="s">
        <v>338</v>
      </c>
      <c r="N103" t="s">
        <v>236</v>
      </c>
      <c r="O103" t="s">
        <v>201</v>
      </c>
      <c r="P103" t="s">
        <v>225</v>
      </c>
      <c r="Q103" s="19" t="s">
        <v>205</v>
      </c>
      <c r="R103" t="s">
        <v>205</v>
      </c>
      <c r="S103" t="s">
        <v>205</v>
      </c>
      <c r="T103" t="s">
        <v>225</v>
      </c>
      <c r="U103" t="s">
        <v>277</v>
      </c>
      <c r="V103" t="s">
        <v>204</v>
      </c>
      <c r="W103">
        <v>1</v>
      </c>
      <c r="X103" t="s">
        <v>225</v>
      </c>
      <c r="Y103" t="s">
        <v>225</v>
      </c>
      <c r="Z103" t="s">
        <v>225</v>
      </c>
      <c r="AA103" t="s">
        <v>225</v>
      </c>
      <c r="AB103" t="s">
        <v>225</v>
      </c>
      <c r="AC103" t="s">
        <v>225</v>
      </c>
      <c r="AD103" t="s">
        <v>205</v>
      </c>
      <c r="AE103" t="s">
        <v>225</v>
      </c>
      <c r="AF103" t="s">
        <v>225</v>
      </c>
      <c r="AG103" t="s">
        <v>225</v>
      </c>
      <c r="AH103" t="s">
        <v>225</v>
      </c>
      <c r="AI103" t="s">
        <v>225</v>
      </c>
      <c r="AJ103" t="s">
        <v>225</v>
      </c>
      <c r="AK103" t="s">
        <v>225</v>
      </c>
      <c r="AL103" t="s">
        <v>225</v>
      </c>
      <c r="AM103" t="s">
        <v>225</v>
      </c>
      <c r="AN103" t="s">
        <v>225</v>
      </c>
      <c r="AO103" t="s">
        <v>225</v>
      </c>
      <c r="AP103" t="s">
        <v>225</v>
      </c>
      <c r="AQ103" t="s">
        <v>225</v>
      </c>
      <c r="AR103" t="s">
        <v>225</v>
      </c>
      <c r="AS103" t="s">
        <v>225</v>
      </c>
      <c r="AT103" t="s">
        <v>225</v>
      </c>
      <c r="AU103" t="s">
        <v>225</v>
      </c>
      <c r="AV103" t="s">
        <v>225</v>
      </c>
      <c r="AW103" t="s">
        <v>225</v>
      </c>
      <c r="AX103" t="s">
        <v>225</v>
      </c>
      <c r="AY103" t="s">
        <v>225</v>
      </c>
      <c r="AZ103" t="s">
        <v>225</v>
      </c>
      <c r="BA103" t="s">
        <v>225</v>
      </c>
      <c r="BB103" t="s">
        <v>225</v>
      </c>
      <c r="BC103" t="s">
        <v>225</v>
      </c>
      <c r="BD103" t="s">
        <v>225</v>
      </c>
      <c r="BE103" t="s">
        <v>225</v>
      </c>
      <c r="BF103" t="s">
        <v>225</v>
      </c>
      <c r="BG103" t="s">
        <v>225</v>
      </c>
      <c r="BH103" t="s">
        <v>225</v>
      </c>
      <c r="BI103" t="s">
        <v>225</v>
      </c>
      <c r="BJ103" t="s">
        <v>225</v>
      </c>
      <c r="BK103" t="s">
        <v>225</v>
      </c>
      <c r="BL103" t="s">
        <v>205</v>
      </c>
      <c r="BN103" t="s">
        <v>701</v>
      </c>
      <c r="BO103" t="s">
        <v>685</v>
      </c>
      <c r="BP103" t="s">
        <v>697</v>
      </c>
      <c r="BQ103" t="s">
        <v>3564</v>
      </c>
      <c r="BR103">
        <f>1/6</f>
        <v>0.16666666666666666</v>
      </c>
      <c r="BS103">
        <v>0</v>
      </c>
      <c r="BT103">
        <v>0</v>
      </c>
      <c r="BU103" s="5">
        <f>(BS103/8+BT103/4)*39</f>
        <v>0</v>
      </c>
      <c r="BV103">
        <v>0</v>
      </c>
      <c r="BW103">
        <v>0</v>
      </c>
      <c r="BX103" s="20">
        <f>1+1/2+1/12+1/2+1/2</f>
        <v>2.583333333333333</v>
      </c>
      <c r="BY103">
        <v>0</v>
      </c>
      <c r="BZ103">
        <v>0</v>
      </c>
      <c r="CA103">
        <v>0</v>
      </c>
      <c r="CB103">
        <v>0</v>
      </c>
      <c r="CC103" s="5">
        <f>(BV103+BW103/2+BX103/8+BY103/16+BZ103/4+CA103/32)*39</f>
        <v>12.593749999999998</v>
      </c>
      <c r="CD103">
        <v>0</v>
      </c>
      <c r="CE103">
        <v>0</v>
      </c>
      <c r="CF103">
        <v>0</v>
      </c>
      <c r="CG103">
        <v>0</v>
      </c>
      <c r="CH103">
        <v>0</v>
      </c>
      <c r="CI103">
        <v>0</v>
      </c>
      <c r="CJ103">
        <v>0</v>
      </c>
      <c r="CK103">
        <v>0</v>
      </c>
      <c r="CL103" s="5">
        <f>(CD103+CE103/2+CF103/8+CG103/16+CH103/4+CJ103/32+CK103/16)*39</f>
        <v>0</v>
      </c>
      <c r="CM103">
        <v>0</v>
      </c>
      <c r="CN103">
        <v>0</v>
      </c>
      <c r="CO103">
        <v>0</v>
      </c>
      <c r="CP103">
        <v>0</v>
      </c>
      <c r="CQ103">
        <v>0</v>
      </c>
      <c r="CR103" t="s">
        <v>755</v>
      </c>
      <c r="CS103">
        <f>20/12+3/12</f>
        <v>1.9166666666666667</v>
      </c>
      <c r="CT103">
        <v>0</v>
      </c>
      <c r="CU103">
        <v>0</v>
      </c>
      <c r="CV103">
        <v>0</v>
      </c>
      <c r="CW103">
        <f>CS103+CT103/24+CU103/48+CV103/48</f>
        <v>1.9166666666666667</v>
      </c>
      <c r="CX103">
        <v>0</v>
      </c>
      <c r="CZ103" t="s">
        <v>210</v>
      </c>
      <c r="DA103" t="s">
        <v>589</v>
      </c>
      <c r="DB103" t="s">
        <v>405</v>
      </c>
      <c r="DC103" t="s">
        <v>262</v>
      </c>
      <c r="DD103" t="s">
        <v>693</v>
      </c>
      <c r="DE103" t="s">
        <v>752</v>
      </c>
      <c r="DF103" t="s">
        <v>749</v>
      </c>
      <c r="DG103" t="s">
        <v>600</v>
      </c>
      <c r="DJ103" t="s">
        <v>483</v>
      </c>
    </row>
    <row r="104" spans="1:114" x14ac:dyDescent="0.25">
      <c r="A104">
        <v>661</v>
      </c>
      <c r="C104" t="s">
        <v>39</v>
      </c>
      <c r="D104" t="s">
        <v>3761</v>
      </c>
      <c r="E104" t="s">
        <v>671</v>
      </c>
      <c r="I104" t="s">
        <v>219</v>
      </c>
      <c r="J104">
        <v>1343</v>
      </c>
      <c r="K104" t="s">
        <v>249</v>
      </c>
      <c r="L104">
        <v>29</v>
      </c>
      <c r="M104" s="7" t="s">
        <v>338</v>
      </c>
      <c r="N104" t="s">
        <v>236</v>
      </c>
      <c r="O104" t="s">
        <v>201</v>
      </c>
      <c r="P104" t="s">
        <v>225</v>
      </c>
      <c r="Q104" s="19" t="s">
        <v>205</v>
      </c>
      <c r="R104" t="s">
        <v>205</v>
      </c>
      <c r="S104" t="s">
        <v>205</v>
      </c>
      <c r="T104" t="s">
        <v>225</v>
      </c>
      <c r="U104" t="s">
        <v>277</v>
      </c>
      <c r="V104" t="s">
        <v>204</v>
      </c>
      <c r="W104" t="s">
        <v>205</v>
      </c>
      <c r="X104" t="s">
        <v>225</v>
      </c>
      <c r="Y104" t="s">
        <v>225</v>
      </c>
      <c r="Z104" t="s">
        <v>225</v>
      </c>
      <c r="AA104" t="s">
        <v>225</v>
      </c>
      <c r="AB104" t="s">
        <v>225</v>
      </c>
      <c r="AC104" t="s">
        <v>225</v>
      </c>
      <c r="AD104" t="s">
        <v>205</v>
      </c>
      <c r="AE104" t="s">
        <v>225</v>
      </c>
      <c r="AF104" t="s">
        <v>225</v>
      </c>
      <c r="AG104" t="s">
        <v>225</v>
      </c>
      <c r="AH104" t="s">
        <v>225</v>
      </c>
      <c r="AI104" t="s">
        <v>225</v>
      </c>
      <c r="AJ104" t="s">
        <v>225</v>
      </c>
      <c r="AK104" t="s">
        <v>225</v>
      </c>
      <c r="AL104" t="s">
        <v>225</v>
      </c>
      <c r="AM104" t="s">
        <v>225</v>
      </c>
      <c r="AN104" t="s">
        <v>225</v>
      </c>
      <c r="AO104" t="s">
        <v>225</v>
      </c>
      <c r="AP104" t="s">
        <v>225</v>
      </c>
      <c r="AQ104" t="s">
        <v>225</v>
      </c>
      <c r="AR104" t="s">
        <v>225</v>
      </c>
      <c r="AS104" t="s">
        <v>225</v>
      </c>
      <c r="AT104" t="s">
        <v>225</v>
      </c>
      <c r="AU104" t="s">
        <v>225</v>
      </c>
      <c r="AV104" t="s">
        <v>225</v>
      </c>
      <c r="AW104" t="s">
        <v>225</v>
      </c>
      <c r="AX104" t="s">
        <v>225</v>
      </c>
      <c r="AY104" t="s">
        <v>225</v>
      </c>
      <c r="AZ104" t="s">
        <v>225</v>
      </c>
      <c r="BA104" t="s">
        <v>225</v>
      </c>
      <c r="BB104" t="s">
        <v>225</v>
      </c>
      <c r="BC104" t="s">
        <v>225</v>
      </c>
      <c r="BD104" t="s">
        <v>225</v>
      </c>
      <c r="BE104" t="s">
        <v>225</v>
      </c>
      <c r="BF104" t="s">
        <v>225</v>
      </c>
      <c r="BG104" t="s">
        <v>225</v>
      </c>
      <c r="BH104" t="s">
        <v>225</v>
      </c>
      <c r="BI104" t="s">
        <v>225</v>
      </c>
      <c r="BJ104" t="s">
        <v>225</v>
      </c>
      <c r="BK104" t="s">
        <v>225</v>
      </c>
      <c r="BL104" t="s">
        <v>205</v>
      </c>
      <c r="BN104" t="s">
        <v>540</v>
      </c>
      <c r="BO104" t="s">
        <v>685</v>
      </c>
      <c r="BP104" t="s">
        <v>461</v>
      </c>
      <c r="BQ104" t="s">
        <v>3565</v>
      </c>
      <c r="BR104" s="5">
        <f>1/6+1/7</f>
        <v>0.30952380952380953</v>
      </c>
      <c r="BS104">
        <v>0</v>
      </c>
      <c r="BT104">
        <v>0</v>
      </c>
      <c r="BU104" s="5">
        <f>(BS104/8+BT104/4)*39</f>
        <v>0</v>
      </c>
      <c r="BV104">
        <v>0</v>
      </c>
      <c r="BW104">
        <v>0</v>
      </c>
      <c r="BX104" s="20">
        <f>1+1/2+1/12+5</f>
        <v>6.583333333333333</v>
      </c>
      <c r="BY104">
        <v>0</v>
      </c>
      <c r="BZ104">
        <v>0</v>
      </c>
      <c r="CA104">
        <v>0</v>
      </c>
      <c r="CB104">
        <v>0</v>
      </c>
      <c r="CC104" s="5">
        <f>(BV104+BW104/2+BX104/8+BY104/16+BZ104/4+CA104/32)*39</f>
        <v>32.09375</v>
      </c>
      <c r="CD104">
        <v>0</v>
      </c>
      <c r="CE104">
        <v>0</v>
      </c>
      <c r="CF104" s="20">
        <f>1+1.5</f>
        <v>2.5</v>
      </c>
      <c r="CG104" s="20">
        <v>1</v>
      </c>
      <c r="CH104">
        <v>0</v>
      </c>
      <c r="CI104">
        <v>0</v>
      </c>
      <c r="CJ104">
        <v>0</v>
      </c>
      <c r="CK104">
        <v>0</v>
      </c>
      <c r="CL104" s="5">
        <f>(CD104+CE104/2+CF104/8+CG104/16+CH104/4+CJ104/32+CK104/16)*39</f>
        <v>14.625</v>
      </c>
      <c r="CM104">
        <v>0</v>
      </c>
      <c r="CN104">
        <v>0</v>
      </c>
      <c r="CO104">
        <v>0</v>
      </c>
      <c r="CP104">
        <v>0</v>
      </c>
      <c r="CQ104">
        <v>0</v>
      </c>
      <c r="CR104" t="s">
        <v>756</v>
      </c>
      <c r="CS104">
        <f>17/12+4+8/12</f>
        <v>6.0833333333333339</v>
      </c>
      <c r="CT104">
        <v>0</v>
      </c>
      <c r="CU104">
        <v>0</v>
      </c>
      <c r="CV104">
        <v>0</v>
      </c>
      <c r="CW104">
        <f>CS104+CT104/24+CU104/48+CV104/48</f>
        <v>6.0833333333333339</v>
      </c>
      <c r="CX104">
        <v>0</v>
      </c>
      <c r="CZ104" t="s">
        <v>210</v>
      </c>
      <c r="DB104" t="s">
        <v>748</v>
      </c>
      <c r="DC104" t="s">
        <v>262</v>
      </c>
      <c r="DD104" t="s">
        <v>693</v>
      </c>
      <c r="DE104" t="s">
        <v>752</v>
      </c>
      <c r="DF104" t="s">
        <v>749</v>
      </c>
      <c r="DG104" t="s">
        <v>600</v>
      </c>
      <c r="DJ104" t="s">
        <v>483</v>
      </c>
    </row>
    <row r="105" spans="1:114" x14ac:dyDescent="0.25">
      <c r="A105">
        <v>1031</v>
      </c>
      <c r="B105" t="s">
        <v>1322</v>
      </c>
      <c r="C105" t="s">
        <v>465</v>
      </c>
      <c r="D105" t="s">
        <v>1319</v>
      </c>
      <c r="E105" t="s">
        <v>1318</v>
      </c>
      <c r="G105" t="s">
        <v>1320</v>
      </c>
      <c r="I105" t="s">
        <v>219</v>
      </c>
      <c r="J105">
        <v>1343</v>
      </c>
      <c r="K105" t="s">
        <v>383</v>
      </c>
      <c r="L105">
        <v>13</v>
      </c>
      <c r="M105" s="8" t="s">
        <v>338</v>
      </c>
      <c r="N105" t="s">
        <v>236</v>
      </c>
      <c r="O105" t="s">
        <v>201</v>
      </c>
      <c r="P105" t="s">
        <v>225</v>
      </c>
      <c r="Q105" s="19" t="s">
        <v>205</v>
      </c>
      <c r="R105" t="s">
        <v>205</v>
      </c>
      <c r="S105" t="s">
        <v>205</v>
      </c>
      <c r="T105" t="s">
        <v>225</v>
      </c>
      <c r="U105" t="s">
        <v>277</v>
      </c>
      <c r="V105" t="s">
        <v>204</v>
      </c>
      <c r="W105" t="s">
        <v>205</v>
      </c>
      <c r="X105" t="s">
        <v>205</v>
      </c>
      <c r="Y105" t="s">
        <v>205</v>
      </c>
      <c r="Z105" t="s">
        <v>225</v>
      </c>
      <c r="AA105">
        <v>1</v>
      </c>
      <c r="AB105" t="s">
        <v>225</v>
      </c>
      <c r="AC105" t="s">
        <v>225</v>
      </c>
      <c r="AD105" t="s">
        <v>205</v>
      </c>
      <c r="AE105" t="s">
        <v>225</v>
      </c>
      <c r="AF105" t="s">
        <v>225</v>
      </c>
      <c r="AG105" t="s">
        <v>225</v>
      </c>
      <c r="AH105" t="s">
        <v>225</v>
      </c>
      <c r="AI105" t="s">
        <v>225</v>
      </c>
      <c r="AJ105" t="s">
        <v>225</v>
      </c>
      <c r="AK105" t="s">
        <v>225</v>
      </c>
      <c r="AL105" t="s">
        <v>225</v>
      </c>
      <c r="AM105" t="s">
        <v>225</v>
      </c>
      <c r="AN105" t="s">
        <v>225</v>
      </c>
      <c r="AO105" t="s">
        <v>225</v>
      </c>
      <c r="AP105" t="s">
        <v>225</v>
      </c>
      <c r="AQ105" t="s">
        <v>225</v>
      </c>
      <c r="AR105" t="s">
        <v>225</v>
      </c>
      <c r="AS105" t="s">
        <v>225</v>
      </c>
      <c r="AT105" t="s">
        <v>225</v>
      </c>
      <c r="AU105" t="s">
        <v>225</v>
      </c>
      <c r="AV105" t="s">
        <v>225</v>
      </c>
      <c r="AW105" t="s">
        <v>225</v>
      </c>
      <c r="AX105" t="s">
        <v>225</v>
      </c>
      <c r="AY105" t="s">
        <v>225</v>
      </c>
      <c r="AZ105" t="s">
        <v>225</v>
      </c>
      <c r="BA105" t="s">
        <v>225</v>
      </c>
      <c r="BB105" t="s">
        <v>225</v>
      </c>
      <c r="BC105" t="s">
        <v>225</v>
      </c>
      <c r="BD105" t="s">
        <v>225</v>
      </c>
      <c r="BE105" t="s">
        <v>225</v>
      </c>
      <c r="BF105" t="s">
        <v>225</v>
      </c>
      <c r="BG105" t="s">
        <v>225</v>
      </c>
      <c r="BH105" t="s">
        <v>225</v>
      </c>
      <c r="BI105" t="s">
        <v>225</v>
      </c>
      <c r="BJ105" t="s">
        <v>225</v>
      </c>
      <c r="BK105" t="s">
        <v>225</v>
      </c>
      <c r="BL105" t="s">
        <v>205</v>
      </c>
      <c r="BN105" t="s">
        <v>1336</v>
      </c>
      <c r="BO105" t="s">
        <v>1325</v>
      </c>
      <c r="BQ105" t="s">
        <v>1455</v>
      </c>
      <c r="BR105" s="5">
        <v>1</v>
      </c>
      <c r="BS105" s="5">
        <v>0</v>
      </c>
      <c r="BT105" s="5">
        <v>0</v>
      </c>
      <c r="BU105" s="5">
        <f>(BS105/8+BT105/4)*39</f>
        <v>0</v>
      </c>
      <c r="BV105" s="5">
        <v>0</v>
      </c>
      <c r="BW105" s="5">
        <v>0</v>
      </c>
      <c r="BX105" s="5">
        <f>1.5+1/2</f>
        <v>2</v>
      </c>
      <c r="BY105" s="5">
        <v>1</v>
      </c>
      <c r="BZ105" s="5">
        <v>0</v>
      </c>
      <c r="CA105" s="5">
        <v>0</v>
      </c>
      <c r="CB105" s="5">
        <v>0</v>
      </c>
      <c r="CC105" s="5">
        <f>(BV105+BW105/2+BX105/8+BY105/16+BZ105/4+CA105/32)*39</f>
        <v>12.1875</v>
      </c>
      <c r="CD105" s="5">
        <v>0</v>
      </c>
      <c r="CE105" s="5">
        <v>0</v>
      </c>
      <c r="CF105" s="5">
        <v>0</v>
      </c>
      <c r="CG105" s="5">
        <f>3+1</f>
        <v>4</v>
      </c>
      <c r="CH105" s="5">
        <v>0</v>
      </c>
      <c r="CI105" s="5">
        <v>0</v>
      </c>
      <c r="CJ105" s="5">
        <v>0</v>
      </c>
      <c r="CK105" s="5">
        <v>0</v>
      </c>
      <c r="CL105" s="5">
        <f>(CD105+CE105/2+CF105/8+CG105/16+CH105/4+CJ105/32+CK105/16)*39</f>
        <v>9.75</v>
      </c>
      <c r="CM105" s="5">
        <v>0</v>
      </c>
      <c r="CN105" s="5">
        <v>0</v>
      </c>
      <c r="CO105" s="5">
        <v>0</v>
      </c>
      <c r="CP105" s="5">
        <v>0</v>
      </c>
      <c r="CQ105" s="5">
        <v>0</v>
      </c>
      <c r="CR105" t="s">
        <v>1337</v>
      </c>
      <c r="CS105">
        <f>5+15/12</f>
        <v>6.25</v>
      </c>
      <c r="CT105">
        <v>0</v>
      </c>
      <c r="CU105">
        <v>0</v>
      </c>
      <c r="CV105">
        <v>0</v>
      </c>
      <c r="CW105">
        <f>CS105+CT105/24+CU105/48+CV105/48</f>
        <v>6.25</v>
      </c>
      <c r="CX105">
        <v>0</v>
      </c>
      <c r="CZ105" t="s">
        <v>210</v>
      </c>
      <c r="DA105" t="s">
        <v>1338</v>
      </c>
      <c r="DB105" t="s">
        <v>405</v>
      </c>
      <c r="DC105" t="s">
        <v>262</v>
      </c>
      <c r="DD105" t="s">
        <v>693</v>
      </c>
      <c r="DE105" t="s">
        <v>1403</v>
      </c>
      <c r="DF105" t="s">
        <v>1095</v>
      </c>
      <c r="DG105" t="s">
        <v>1404</v>
      </c>
      <c r="DJ105" t="s">
        <v>1339</v>
      </c>
    </row>
    <row r="106" spans="1:114" x14ac:dyDescent="0.25">
      <c r="A106">
        <v>1051</v>
      </c>
      <c r="C106" t="s">
        <v>465</v>
      </c>
      <c r="D106" t="s">
        <v>1319</v>
      </c>
      <c r="E106" t="s">
        <v>1318</v>
      </c>
      <c r="G106" s="15" t="s">
        <v>1478</v>
      </c>
      <c r="H106" t="s">
        <v>1342</v>
      </c>
      <c r="I106" t="s">
        <v>219</v>
      </c>
      <c r="J106">
        <v>1343</v>
      </c>
      <c r="K106" t="s">
        <v>383</v>
      </c>
      <c r="L106">
        <v>13</v>
      </c>
      <c r="M106" s="7" t="s">
        <v>338</v>
      </c>
      <c r="N106" t="s">
        <v>236</v>
      </c>
      <c r="O106" t="s">
        <v>201</v>
      </c>
      <c r="P106" t="s">
        <v>225</v>
      </c>
      <c r="Q106" s="19" t="s">
        <v>205</v>
      </c>
      <c r="R106" t="s">
        <v>205</v>
      </c>
      <c r="S106" t="s">
        <v>205</v>
      </c>
      <c r="T106" t="s">
        <v>225</v>
      </c>
      <c r="U106" t="s">
        <v>277</v>
      </c>
      <c r="V106" t="s">
        <v>204</v>
      </c>
      <c r="W106">
        <v>1</v>
      </c>
      <c r="X106" t="s">
        <v>225</v>
      </c>
      <c r="Y106" t="s">
        <v>225</v>
      </c>
      <c r="Z106" t="s">
        <v>225</v>
      </c>
      <c r="AA106" t="s">
        <v>225</v>
      </c>
      <c r="AB106" t="s">
        <v>225</v>
      </c>
      <c r="AC106" t="s">
        <v>225</v>
      </c>
      <c r="AD106" t="s">
        <v>205</v>
      </c>
      <c r="AE106" t="s">
        <v>225</v>
      </c>
      <c r="AF106" t="s">
        <v>225</v>
      </c>
      <c r="AG106" t="s">
        <v>225</v>
      </c>
      <c r="AH106" t="s">
        <v>225</v>
      </c>
      <c r="AI106" t="s">
        <v>225</v>
      </c>
      <c r="AJ106" t="s">
        <v>225</v>
      </c>
      <c r="AK106" t="s">
        <v>225</v>
      </c>
      <c r="AL106" t="s">
        <v>225</v>
      </c>
      <c r="AM106" t="s">
        <v>225</v>
      </c>
      <c r="AN106" t="s">
        <v>225</v>
      </c>
      <c r="AO106" t="s">
        <v>225</v>
      </c>
      <c r="AP106" t="s">
        <v>225</v>
      </c>
      <c r="AQ106" t="s">
        <v>225</v>
      </c>
      <c r="AR106" t="s">
        <v>225</v>
      </c>
      <c r="AS106" t="s">
        <v>225</v>
      </c>
      <c r="AT106" t="s">
        <v>225</v>
      </c>
      <c r="AU106" t="s">
        <v>225</v>
      </c>
      <c r="AV106" t="s">
        <v>225</v>
      </c>
      <c r="AW106" t="s">
        <v>225</v>
      </c>
      <c r="AX106" t="s">
        <v>225</v>
      </c>
      <c r="AY106" t="s">
        <v>225</v>
      </c>
      <c r="AZ106" t="s">
        <v>225</v>
      </c>
      <c r="BA106" t="s">
        <v>225</v>
      </c>
      <c r="BB106" t="s">
        <v>225</v>
      </c>
      <c r="BC106" t="s">
        <v>225</v>
      </c>
      <c r="BD106" t="s">
        <v>225</v>
      </c>
      <c r="BE106" t="s">
        <v>225</v>
      </c>
      <c r="BF106" t="s">
        <v>225</v>
      </c>
      <c r="BG106" t="s">
        <v>225</v>
      </c>
      <c r="BH106" t="s">
        <v>225</v>
      </c>
      <c r="BI106" t="s">
        <v>225</v>
      </c>
      <c r="BJ106" t="s">
        <v>225</v>
      </c>
      <c r="BK106" t="s">
        <v>225</v>
      </c>
      <c r="BL106" t="s">
        <v>205</v>
      </c>
      <c r="BM106" s="5"/>
      <c r="BN106" t="s">
        <v>389</v>
      </c>
      <c r="BO106" t="s">
        <v>1343</v>
      </c>
      <c r="BQ106" t="s">
        <v>1455</v>
      </c>
      <c r="BR106" s="5">
        <v>1</v>
      </c>
      <c r="BS106" s="5">
        <v>0</v>
      </c>
      <c r="BT106" s="5">
        <v>0</v>
      </c>
      <c r="BU106" s="5">
        <f>(BS106/8+BT106/4)*39</f>
        <v>0</v>
      </c>
      <c r="BV106" s="5">
        <v>0</v>
      </c>
      <c r="BW106" s="5">
        <v>0</v>
      </c>
      <c r="BX106" s="5">
        <f>1/2</f>
        <v>0.5</v>
      </c>
      <c r="BY106" s="5">
        <v>3</v>
      </c>
      <c r="BZ106" s="5">
        <v>1</v>
      </c>
      <c r="CA106" s="5">
        <v>0</v>
      </c>
      <c r="CB106" s="5">
        <v>0</v>
      </c>
      <c r="CC106" s="5">
        <f>(BV106+BW106/2+BX106/8+BY106/16+BZ106/4+CA106/32)*39</f>
        <v>19.5</v>
      </c>
      <c r="CD106" s="5">
        <v>0</v>
      </c>
      <c r="CE106" s="5">
        <v>0</v>
      </c>
      <c r="CF106" s="5">
        <v>0</v>
      </c>
      <c r="CG106" s="5">
        <f>3+3</f>
        <v>6</v>
      </c>
      <c r="CH106" s="5">
        <v>0</v>
      </c>
      <c r="CI106" s="5">
        <v>0</v>
      </c>
      <c r="CJ106" s="5">
        <v>0</v>
      </c>
      <c r="CK106" s="5">
        <v>0</v>
      </c>
      <c r="CL106" s="5">
        <f>(CD106+CE106/2+CF106/8+CG106/16+CH106/4+CJ106/32+CK106/16)*39</f>
        <v>14.625</v>
      </c>
      <c r="CM106" s="5">
        <v>0</v>
      </c>
      <c r="CN106" s="5">
        <v>0</v>
      </c>
      <c r="CO106" s="5">
        <v>0</v>
      </c>
      <c r="CP106" s="5">
        <v>0</v>
      </c>
      <c r="CQ106" s="5">
        <v>0</v>
      </c>
      <c r="CS106">
        <f>8+7/12</f>
        <v>8.5833333333333339</v>
      </c>
      <c r="CT106">
        <v>0</v>
      </c>
      <c r="CU106">
        <v>0</v>
      </c>
      <c r="CV106">
        <v>0</v>
      </c>
      <c r="CW106">
        <f>CS106+CT106/24+CU106/48+CV106/48</f>
        <v>8.5833333333333339</v>
      </c>
      <c r="CX106">
        <v>0</v>
      </c>
      <c r="CZ106" t="s">
        <v>210</v>
      </c>
      <c r="DA106" t="s">
        <v>1338</v>
      </c>
      <c r="DB106" t="s">
        <v>1346</v>
      </c>
      <c r="DC106" t="s">
        <v>262</v>
      </c>
      <c r="DD106" t="s">
        <v>693</v>
      </c>
      <c r="DE106" t="s">
        <v>1403</v>
      </c>
      <c r="DF106" t="s">
        <v>1095</v>
      </c>
      <c r="DG106" t="s">
        <v>1404</v>
      </c>
      <c r="DJ106" t="s">
        <v>1339</v>
      </c>
    </row>
    <row r="107" spans="1:114" x14ac:dyDescent="0.25">
      <c r="A107">
        <v>1061</v>
      </c>
      <c r="C107" t="s">
        <v>23</v>
      </c>
      <c r="D107" t="s">
        <v>1319</v>
      </c>
      <c r="E107" t="s">
        <v>1318</v>
      </c>
      <c r="H107" t="s">
        <v>1357</v>
      </c>
      <c r="I107" t="s">
        <v>219</v>
      </c>
      <c r="J107">
        <v>1343</v>
      </c>
      <c r="K107" t="s">
        <v>383</v>
      </c>
      <c r="L107">
        <v>13</v>
      </c>
      <c r="M107" s="7" t="s">
        <v>338</v>
      </c>
      <c r="N107" t="s">
        <v>236</v>
      </c>
      <c r="O107" t="s">
        <v>201</v>
      </c>
      <c r="P107" t="s">
        <v>225</v>
      </c>
      <c r="Q107" s="19" t="s">
        <v>205</v>
      </c>
      <c r="R107" t="s">
        <v>205</v>
      </c>
      <c r="S107" t="s">
        <v>205</v>
      </c>
      <c r="T107" t="s">
        <v>225</v>
      </c>
      <c r="U107" t="s">
        <v>277</v>
      </c>
      <c r="V107" t="s">
        <v>204</v>
      </c>
      <c r="W107">
        <v>1</v>
      </c>
      <c r="Y107" t="s">
        <v>205</v>
      </c>
      <c r="Z107" t="s">
        <v>225</v>
      </c>
      <c r="AA107">
        <v>1</v>
      </c>
      <c r="AB107" t="s">
        <v>225</v>
      </c>
      <c r="AC107" t="s">
        <v>225</v>
      </c>
      <c r="AD107" t="s">
        <v>205</v>
      </c>
      <c r="AE107" t="s">
        <v>225</v>
      </c>
      <c r="AF107" t="s">
        <v>225</v>
      </c>
      <c r="AG107" t="s">
        <v>225</v>
      </c>
      <c r="AH107" t="s">
        <v>225</v>
      </c>
      <c r="AI107" t="s">
        <v>225</v>
      </c>
      <c r="AJ107" t="s">
        <v>225</v>
      </c>
      <c r="AK107" t="s">
        <v>225</v>
      </c>
      <c r="AL107" t="s">
        <v>225</v>
      </c>
      <c r="AM107" t="s">
        <v>225</v>
      </c>
      <c r="AN107" t="s">
        <v>225</v>
      </c>
      <c r="AO107" t="s">
        <v>225</v>
      </c>
      <c r="AP107" t="s">
        <v>225</v>
      </c>
      <c r="AQ107" t="s">
        <v>225</v>
      </c>
      <c r="AR107" t="s">
        <v>225</v>
      </c>
      <c r="AS107" t="s">
        <v>225</v>
      </c>
      <c r="AT107" t="s">
        <v>225</v>
      </c>
      <c r="AU107" t="s">
        <v>225</v>
      </c>
      <c r="AV107" t="s">
        <v>225</v>
      </c>
      <c r="AW107" t="s">
        <v>225</v>
      </c>
      <c r="AX107" t="s">
        <v>225</v>
      </c>
      <c r="AY107" t="s">
        <v>225</v>
      </c>
      <c r="AZ107" t="s">
        <v>225</v>
      </c>
      <c r="BA107" t="s">
        <v>225</v>
      </c>
      <c r="BB107" t="s">
        <v>225</v>
      </c>
      <c r="BC107" t="s">
        <v>225</v>
      </c>
      <c r="BD107" t="s">
        <v>225</v>
      </c>
      <c r="BE107" t="s">
        <v>225</v>
      </c>
      <c r="BF107" t="s">
        <v>225</v>
      </c>
      <c r="BG107" t="s">
        <v>225</v>
      </c>
      <c r="BH107" t="s">
        <v>225</v>
      </c>
      <c r="BI107" t="s">
        <v>225</v>
      </c>
      <c r="BJ107" t="s">
        <v>225</v>
      </c>
      <c r="BK107" t="s">
        <v>225</v>
      </c>
      <c r="BL107" t="s">
        <v>205</v>
      </c>
      <c r="BN107" t="s">
        <v>389</v>
      </c>
      <c r="BO107" t="s">
        <v>1325</v>
      </c>
      <c r="BP107" t="s">
        <v>461</v>
      </c>
      <c r="BQ107" t="s">
        <v>1455</v>
      </c>
      <c r="BR107" s="5">
        <v>1</v>
      </c>
      <c r="BS107" s="5">
        <v>0</v>
      </c>
      <c r="BT107" s="5">
        <v>0</v>
      </c>
      <c r="BU107" s="5">
        <f>(BS107/8+BT107/4)*39</f>
        <v>0</v>
      </c>
      <c r="BV107" s="5">
        <v>0</v>
      </c>
      <c r="BW107" s="5">
        <v>0</v>
      </c>
      <c r="BX107" s="5">
        <f>1/2</f>
        <v>0.5</v>
      </c>
      <c r="BY107" s="5">
        <f>1/2</f>
        <v>0.5</v>
      </c>
      <c r="BZ107" s="5">
        <v>0</v>
      </c>
      <c r="CA107" s="5">
        <v>0</v>
      </c>
      <c r="CB107" s="5">
        <v>0</v>
      </c>
      <c r="CC107" s="5">
        <f>(BV107+BW107/2+BX107/8+BY107/16+BZ107/4+CA107/32)*39</f>
        <v>3.65625</v>
      </c>
      <c r="CD107" s="5">
        <v>0</v>
      </c>
      <c r="CE107" s="5">
        <v>0</v>
      </c>
      <c r="CF107" s="5">
        <v>0</v>
      </c>
      <c r="CG107" s="5">
        <v>0</v>
      </c>
      <c r="CH107" s="5">
        <v>0</v>
      </c>
      <c r="CI107" s="5">
        <v>0</v>
      </c>
      <c r="CJ107" s="5">
        <v>0</v>
      </c>
      <c r="CK107" s="5">
        <v>0</v>
      </c>
      <c r="CL107" s="5">
        <f>(CD107+CE107/2+CF107/8+CG107/16+CH107/4+CJ107/32+CK107/16)*39</f>
        <v>0</v>
      </c>
      <c r="CM107" s="5">
        <v>0</v>
      </c>
      <c r="CN107" s="5">
        <v>0</v>
      </c>
      <c r="CO107" s="5">
        <v>0</v>
      </c>
      <c r="CP107" s="5">
        <v>0</v>
      </c>
      <c r="CQ107" s="5">
        <v>0</v>
      </c>
      <c r="CR107" s="5"/>
      <c r="CS107">
        <f>23/12</f>
        <v>1.9166666666666667</v>
      </c>
      <c r="CT107">
        <v>0</v>
      </c>
      <c r="CU107">
        <v>0</v>
      </c>
      <c r="CV107">
        <v>0</v>
      </c>
      <c r="CW107">
        <f>CS107+CT107/24+CU107/48+CV107/48</f>
        <v>1.9166666666666667</v>
      </c>
      <c r="CX107">
        <v>0</v>
      </c>
      <c r="CZ107" t="s">
        <v>210</v>
      </c>
      <c r="DA107" t="s">
        <v>1359</v>
      </c>
      <c r="DB107" t="s">
        <v>405</v>
      </c>
      <c r="DC107" t="s">
        <v>262</v>
      </c>
      <c r="DD107" t="s">
        <v>693</v>
      </c>
      <c r="DE107" t="s">
        <v>1403</v>
      </c>
      <c r="DF107" t="s">
        <v>1095</v>
      </c>
      <c r="DG107" t="s">
        <v>1404</v>
      </c>
      <c r="DJ107" t="s">
        <v>1339</v>
      </c>
    </row>
    <row r="108" spans="1:114" x14ac:dyDescent="0.25">
      <c r="A108">
        <v>1071</v>
      </c>
      <c r="C108" t="s">
        <v>1377</v>
      </c>
      <c r="D108" t="s">
        <v>1319</v>
      </c>
      <c r="E108" t="s">
        <v>1318</v>
      </c>
      <c r="H108" t="s">
        <v>1378</v>
      </c>
      <c r="I108" t="s">
        <v>219</v>
      </c>
      <c r="J108">
        <v>1343</v>
      </c>
      <c r="K108" t="s">
        <v>383</v>
      </c>
      <c r="L108">
        <v>13</v>
      </c>
      <c r="M108" s="7" t="s">
        <v>338</v>
      </c>
      <c r="N108" t="s">
        <v>236</v>
      </c>
      <c r="O108" t="s">
        <v>201</v>
      </c>
      <c r="P108" t="s">
        <v>225</v>
      </c>
      <c r="Q108" s="19" t="s">
        <v>205</v>
      </c>
      <c r="R108" t="s">
        <v>205</v>
      </c>
      <c r="S108" t="s">
        <v>205</v>
      </c>
      <c r="T108" t="s">
        <v>225</v>
      </c>
      <c r="U108" t="s">
        <v>277</v>
      </c>
      <c r="V108" t="s">
        <v>204</v>
      </c>
      <c r="W108" t="s">
        <v>205</v>
      </c>
      <c r="X108" t="s">
        <v>205</v>
      </c>
      <c r="Y108" t="s">
        <v>225</v>
      </c>
      <c r="Z108" t="s">
        <v>225</v>
      </c>
      <c r="AA108" t="s">
        <v>225</v>
      </c>
      <c r="AB108" t="s">
        <v>225</v>
      </c>
      <c r="AC108" t="s">
        <v>225</v>
      </c>
      <c r="AD108" t="s">
        <v>205</v>
      </c>
      <c r="AE108" t="s">
        <v>225</v>
      </c>
      <c r="AF108" t="s">
        <v>225</v>
      </c>
      <c r="AG108" t="s">
        <v>225</v>
      </c>
      <c r="AH108" t="s">
        <v>225</v>
      </c>
      <c r="AI108" t="s">
        <v>225</v>
      </c>
      <c r="AJ108" t="s">
        <v>225</v>
      </c>
      <c r="AK108" t="s">
        <v>225</v>
      </c>
      <c r="AL108" t="s">
        <v>225</v>
      </c>
      <c r="AM108" t="s">
        <v>225</v>
      </c>
      <c r="AN108" t="s">
        <v>225</v>
      </c>
      <c r="AO108" t="s">
        <v>225</v>
      </c>
      <c r="AP108" t="s">
        <v>225</v>
      </c>
      <c r="AQ108" t="s">
        <v>225</v>
      </c>
      <c r="AR108" t="s">
        <v>225</v>
      </c>
      <c r="AS108" t="s">
        <v>225</v>
      </c>
      <c r="AT108" t="s">
        <v>225</v>
      </c>
      <c r="AU108" t="s">
        <v>225</v>
      </c>
      <c r="AV108" t="s">
        <v>225</v>
      </c>
      <c r="AW108" t="s">
        <v>225</v>
      </c>
      <c r="AX108" t="s">
        <v>225</v>
      </c>
      <c r="AY108" t="s">
        <v>225</v>
      </c>
      <c r="AZ108" t="s">
        <v>225</v>
      </c>
      <c r="BA108" t="s">
        <v>225</v>
      </c>
      <c r="BB108" t="s">
        <v>225</v>
      </c>
      <c r="BC108" t="s">
        <v>225</v>
      </c>
      <c r="BD108" t="s">
        <v>225</v>
      </c>
      <c r="BE108" t="s">
        <v>225</v>
      </c>
      <c r="BF108" t="s">
        <v>225</v>
      </c>
      <c r="BG108" t="s">
        <v>225</v>
      </c>
      <c r="BH108" t="s">
        <v>225</v>
      </c>
      <c r="BI108" t="s">
        <v>225</v>
      </c>
      <c r="BJ108" t="s">
        <v>225</v>
      </c>
      <c r="BK108" t="s">
        <v>225</v>
      </c>
      <c r="BL108" t="s">
        <v>205</v>
      </c>
      <c r="BN108" t="s">
        <v>1386</v>
      </c>
      <c r="BO108" t="s">
        <v>1325</v>
      </c>
      <c r="BP108" t="s">
        <v>1379</v>
      </c>
      <c r="BQ108" t="s">
        <v>1455</v>
      </c>
      <c r="BR108" s="5">
        <v>1</v>
      </c>
      <c r="BS108" s="5">
        <v>0</v>
      </c>
      <c r="BT108" s="5">
        <v>0</v>
      </c>
      <c r="BU108" s="5">
        <f>(BS108/8+BT108/4)*39</f>
        <v>0</v>
      </c>
      <c r="BV108" s="5">
        <v>0</v>
      </c>
      <c r="BW108" s="5">
        <v>0</v>
      </c>
      <c r="BX108" s="5">
        <f>6+1/2</f>
        <v>6.5</v>
      </c>
      <c r="BY108" s="5">
        <v>0</v>
      </c>
      <c r="BZ108" s="5">
        <v>0</v>
      </c>
      <c r="CA108" s="5">
        <v>0</v>
      </c>
      <c r="CB108" s="5">
        <v>0</v>
      </c>
      <c r="CC108" s="5">
        <f>(BV108+BW108/2+BX108/8+BY108/16+BZ108/4+CA108/32)*39</f>
        <v>31.6875</v>
      </c>
      <c r="CD108" s="5">
        <v>0</v>
      </c>
      <c r="CE108" s="5">
        <v>0</v>
      </c>
      <c r="CF108" s="5">
        <f>3+1/2</f>
        <v>3.5</v>
      </c>
      <c r="CG108" s="5">
        <v>1</v>
      </c>
      <c r="CH108" s="5">
        <v>0</v>
      </c>
      <c r="CI108" s="5">
        <v>0</v>
      </c>
      <c r="CJ108" s="5">
        <v>0</v>
      </c>
      <c r="CK108" s="5">
        <v>0</v>
      </c>
      <c r="CL108" s="5">
        <f>(CD108+CE108/2+CF108/8+CG108/16+CH108/4+CJ108/32+CK108/16)*39</f>
        <v>19.5</v>
      </c>
      <c r="CM108" s="5">
        <v>0</v>
      </c>
      <c r="CN108" s="5">
        <v>0</v>
      </c>
      <c r="CO108" s="5">
        <v>0</v>
      </c>
      <c r="CP108" s="5">
        <v>0</v>
      </c>
      <c r="CQ108" s="5">
        <v>0</v>
      </c>
      <c r="CR108" t="s">
        <v>1391</v>
      </c>
      <c r="CS108">
        <f>17+6/12+15/12</f>
        <v>18.75</v>
      </c>
      <c r="CT108">
        <v>0</v>
      </c>
      <c r="CU108">
        <v>0</v>
      </c>
      <c r="CV108">
        <v>0</v>
      </c>
      <c r="CW108">
        <f>CS108+CT108/24+CU108/48+CV108/48</f>
        <v>18.75</v>
      </c>
      <c r="CX108">
        <v>0</v>
      </c>
      <c r="CZ108" t="s">
        <v>210</v>
      </c>
      <c r="DA108" t="s">
        <v>1359</v>
      </c>
      <c r="DB108" t="s">
        <v>405</v>
      </c>
      <c r="DC108" t="s">
        <v>262</v>
      </c>
      <c r="DD108" t="s">
        <v>693</v>
      </c>
      <c r="DE108" t="s">
        <v>1403</v>
      </c>
      <c r="DF108" t="s">
        <v>1095</v>
      </c>
      <c r="DG108" t="s">
        <v>1404</v>
      </c>
      <c r="DJ108" t="s">
        <v>1339</v>
      </c>
    </row>
    <row r="109" spans="1:114" x14ac:dyDescent="0.25">
      <c r="A109">
        <v>1081</v>
      </c>
      <c r="C109" t="s">
        <v>465</v>
      </c>
      <c r="D109" t="s">
        <v>1319</v>
      </c>
      <c r="E109" t="s">
        <v>1318</v>
      </c>
      <c r="G109" t="s">
        <v>3798</v>
      </c>
      <c r="H109" t="s">
        <v>1387</v>
      </c>
      <c r="I109" t="s">
        <v>219</v>
      </c>
      <c r="J109">
        <v>1343</v>
      </c>
      <c r="K109" t="s">
        <v>383</v>
      </c>
      <c r="L109">
        <v>13</v>
      </c>
      <c r="M109" s="7" t="s">
        <v>338</v>
      </c>
      <c r="N109" t="s">
        <v>236</v>
      </c>
      <c r="O109" t="s">
        <v>201</v>
      </c>
      <c r="P109" t="s">
        <v>225</v>
      </c>
      <c r="Q109" s="19" t="s">
        <v>205</v>
      </c>
      <c r="R109" t="s">
        <v>205</v>
      </c>
      <c r="S109" t="s">
        <v>205</v>
      </c>
      <c r="T109" t="s">
        <v>225</v>
      </c>
      <c r="U109" t="s">
        <v>277</v>
      </c>
      <c r="V109" t="s">
        <v>204</v>
      </c>
      <c r="W109">
        <v>1</v>
      </c>
      <c r="X109" t="s">
        <v>225</v>
      </c>
      <c r="Y109" t="s">
        <v>225</v>
      </c>
      <c r="Z109" t="s">
        <v>225</v>
      </c>
      <c r="AA109" t="s">
        <v>225</v>
      </c>
      <c r="AB109" t="s">
        <v>225</v>
      </c>
      <c r="AC109" t="s">
        <v>225</v>
      </c>
      <c r="AD109" t="s">
        <v>205</v>
      </c>
      <c r="AE109" t="s">
        <v>225</v>
      </c>
      <c r="AF109" t="s">
        <v>225</v>
      </c>
      <c r="AG109" t="s">
        <v>225</v>
      </c>
      <c r="AH109" t="s">
        <v>225</v>
      </c>
      <c r="AI109" t="s">
        <v>225</v>
      </c>
      <c r="AJ109" t="s">
        <v>225</v>
      </c>
      <c r="AK109" t="s">
        <v>225</v>
      </c>
      <c r="AL109" t="s">
        <v>225</v>
      </c>
      <c r="AM109" t="s">
        <v>225</v>
      </c>
      <c r="AN109" t="s">
        <v>225</v>
      </c>
      <c r="AO109" t="s">
        <v>225</v>
      </c>
      <c r="AP109" t="s">
        <v>225</v>
      </c>
      <c r="AQ109" t="s">
        <v>225</v>
      </c>
      <c r="AR109" t="s">
        <v>225</v>
      </c>
      <c r="AS109" t="s">
        <v>225</v>
      </c>
      <c r="AT109" t="s">
        <v>225</v>
      </c>
      <c r="AU109" t="s">
        <v>225</v>
      </c>
      <c r="AV109" t="s">
        <v>225</v>
      </c>
      <c r="AW109" t="s">
        <v>225</v>
      </c>
      <c r="AX109" t="s">
        <v>225</v>
      </c>
      <c r="AY109" t="s">
        <v>225</v>
      </c>
      <c r="AZ109" t="s">
        <v>225</v>
      </c>
      <c r="BA109" t="s">
        <v>225</v>
      </c>
      <c r="BB109" t="s">
        <v>225</v>
      </c>
      <c r="BC109" t="s">
        <v>225</v>
      </c>
      <c r="BD109" t="s">
        <v>225</v>
      </c>
      <c r="BE109" t="s">
        <v>225</v>
      </c>
      <c r="BF109" t="s">
        <v>225</v>
      </c>
      <c r="BG109" t="s">
        <v>225</v>
      </c>
      <c r="BH109" t="s">
        <v>225</v>
      </c>
      <c r="BI109" t="s">
        <v>225</v>
      </c>
      <c r="BJ109" t="s">
        <v>225</v>
      </c>
      <c r="BK109" t="s">
        <v>225</v>
      </c>
      <c r="BL109" t="s">
        <v>205</v>
      </c>
      <c r="BM109" t="s">
        <v>1392</v>
      </c>
      <c r="BN109" t="s">
        <v>389</v>
      </c>
      <c r="BO109" t="s">
        <v>1398</v>
      </c>
      <c r="BP109" t="s">
        <v>1388</v>
      </c>
      <c r="BQ109" t="s">
        <v>1455</v>
      </c>
      <c r="BR109" s="5">
        <v>1</v>
      </c>
      <c r="BS109" s="5">
        <v>0</v>
      </c>
      <c r="BT109" s="5">
        <v>0</v>
      </c>
      <c r="BU109" s="5">
        <f>(BS109/8+BT109/4)*39</f>
        <v>0</v>
      </c>
      <c r="BV109" s="5">
        <v>0</v>
      </c>
      <c r="BW109" s="5">
        <v>0</v>
      </c>
      <c r="BX109" s="5">
        <v>3</v>
      </c>
      <c r="BY109" s="5">
        <f>1+1/3</f>
        <v>1.3333333333333333</v>
      </c>
      <c r="BZ109" s="5">
        <v>0</v>
      </c>
      <c r="CA109" s="5">
        <v>0</v>
      </c>
      <c r="CB109" s="5">
        <v>0</v>
      </c>
      <c r="CC109" s="5">
        <f>(BV109+BW109/2+BX109/8+BY109/16+BZ109/4+CA109/32)*39</f>
        <v>17.875</v>
      </c>
      <c r="CD109" s="5">
        <v>0</v>
      </c>
      <c r="CE109" s="5">
        <v>0</v>
      </c>
      <c r="CF109" s="5">
        <v>1</v>
      </c>
      <c r="CG109" s="5">
        <f>1+1/3</f>
        <v>1.3333333333333333</v>
      </c>
      <c r="CH109" s="5">
        <v>0</v>
      </c>
      <c r="CI109" s="5">
        <v>0</v>
      </c>
      <c r="CJ109" s="5">
        <v>0</v>
      </c>
      <c r="CK109" s="5">
        <v>0</v>
      </c>
      <c r="CL109" s="5">
        <f>(CD109+CE109/2+CF109/8+CG109/16+CH109/4+CJ109/32+CK109/16)*39</f>
        <v>8.125</v>
      </c>
      <c r="CM109" s="5">
        <v>0</v>
      </c>
      <c r="CN109" s="5">
        <v>0</v>
      </c>
      <c r="CO109" s="5">
        <v>0</v>
      </c>
      <c r="CP109" s="5">
        <v>0</v>
      </c>
      <c r="CQ109" s="5">
        <v>0</v>
      </c>
      <c r="CR109" t="s">
        <v>1390</v>
      </c>
      <c r="CS109">
        <f>9+8/12</f>
        <v>9.6666666666666661</v>
      </c>
      <c r="CT109">
        <f>1+1/3</f>
        <v>1.3333333333333333</v>
      </c>
      <c r="CU109">
        <v>0</v>
      </c>
      <c r="CV109">
        <v>0</v>
      </c>
      <c r="CW109">
        <f>CS109+CT109/24+CU109/48+CV109/48</f>
        <v>9.7222222222222214</v>
      </c>
      <c r="CX109">
        <v>0</v>
      </c>
      <c r="CY109" t="s">
        <v>1389</v>
      </c>
      <c r="CZ109" t="s">
        <v>210</v>
      </c>
      <c r="DC109" t="s">
        <v>262</v>
      </c>
      <c r="DD109" t="s">
        <v>693</v>
      </c>
      <c r="DE109" t="s">
        <v>1403</v>
      </c>
      <c r="DF109" t="s">
        <v>1095</v>
      </c>
      <c r="DG109" t="s">
        <v>1404</v>
      </c>
    </row>
    <row r="110" spans="1:114" x14ac:dyDescent="0.25">
      <c r="A110">
        <v>1091</v>
      </c>
      <c r="C110" t="s">
        <v>13</v>
      </c>
      <c r="D110" t="s">
        <v>1319</v>
      </c>
      <c r="E110" t="s">
        <v>1318</v>
      </c>
      <c r="G110" t="s">
        <v>1393</v>
      </c>
      <c r="H110" t="s">
        <v>1394</v>
      </c>
      <c r="I110" t="s">
        <v>219</v>
      </c>
      <c r="J110">
        <v>1343</v>
      </c>
      <c r="K110" t="s">
        <v>383</v>
      </c>
      <c r="L110">
        <v>13</v>
      </c>
      <c r="M110" s="7" t="s">
        <v>338</v>
      </c>
      <c r="N110" t="s">
        <v>236</v>
      </c>
      <c r="O110" t="s">
        <v>201</v>
      </c>
      <c r="P110" t="s">
        <v>225</v>
      </c>
      <c r="Q110" s="19" t="s">
        <v>205</v>
      </c>
      <c r="R110" t="s">
        <v>205</v>
      </c>
      <c r="S110" t="s">
        <v>205</v>
      </c>
      <c r="T110" t="s">
        <v>225</v>
      </c>
      <c r="U110" t="s">
        <v>277</v>
      </c>
      <c r="W110" t="s">
        <v>205</v>
      </c>
      <c r="X110" t="s">
        <v>225</v>
      </c>
      <c r="Y110" t="s">
        <v>225</v>
      </c>
      <c r="Z110" t="s">
        <v>225</v>
      </c>
      <c r="AA110" t="s">
        <v>225</v>
      </c>
      <c r="AB110" t="s">
        <v>225</v>
      </c>
      <c r="AC110" t="s">
        <v>225</v>
      </c>
      <c r="AD110" t="s">
        <v>225</v>
      </c>
      <c r="AE110" t="s">
        <v>225</v>
      </c>
      <c r="AF110" t="s">
        <v>225</v>
      </c>
      <c r="AG110" t="s">
        <v>225</v>
      </c>
      <c r="AH110" t="s">
        <v>225</v>
      </c>
      <c r="AI110" t="s">
        <v>225</v>
      </c>
      <c r="AJ110" t="s">
        <v>225</v>
      </c>
      <c r="AK110" t="s">
        <v>225</v>
      </c>
      <c r="AL110" t="s">
        <v>225</v>
      </c>
      <c r="AM110" t="s">
        <v>225</v>
      </c>
      <c r="AN110" t="s">
        <v>225</v>
      </c>
      <c r="AO110" t="s">
        <v>225</v>
      </c>
      <c r="AP110" t="s">
        <v>225</v>
      </c>
      <c r="AQ110" t="s">
        <v>225</v>
      </c>
      <c r="AR110" t="s">
        <v>225</v>
      </c>
      <c r="AS110" t="s">
        <v>225</v>
      </c>
      <c r="AT110" t="s">
        <v>225</v>
      </c>
      <c r="AU110" t="s">
        <v>225</v>
      </c>
      <c r="AV110" t="s">
        <v>225</v>
      </c>
      <c r="AW110" t="s">
        <v>225</v>
      </c>
      <c r="AX110" t="s">
        <v>225</v>
      </c>
      <c r="AY110" t="s">
        <v>225</v>
      </c>
      <c r="AZ110" t="s">
        <v>225</v>
      </c>
      <c r="BA110" t="s">
        <v>225</v>
      </c>
      <c r="BB110" t="s">
        <v>225</v>
      </c>
      <c r="BC110" t="s">
        <v>225</v>
      </c>
      <c r="BD110" t="s">
        <v>225</v>
      </c>
      <c r="BE110" t="s">
        <v>225</v>
      </c>
      <c r="BF110" t="s">
        <v>225</v>
      </c>
      <c r="BG110" t="s">
        <v>225</v>
      </c>
      <c r="BH110" t="s">
        <v>225</v>
      </c>
      <c r="BI110" t="s">
        <v>225</v>
      </c>
      <c r="BJ110" t="s">
        <v>225</v>
      </c>
      <c r="BK110" t="s">
        <v>225</v>
      </c>
      <c r="BL110" t="s">
        <v>205</v>
      </c>
      <c r="BN110" t="s">
        <v>540</v>
      </c>
      <c r="BO110" t="s">
        <v>1397</v>
      </c>
      <c r="BP110" t="s">
        <v>467</v>
      </c>
      <c r="BQ110" t="s">
        <v>1455</v>
      </c>
      <c r="BR110" s="5">
        <v>1</v>
      </c>
      <c r="BS110" s="5">
        <v>0</v>
      </c>
      <c r="BT110" s="5">
        <v>0</v>
      </c>
      <c r="BU110" s="5">
        <f>(BS110/8+BT110/4)*39</f>
        <v>0</v>
      </c>
      <c r="BV110" s="5">
        <v>0</v>
      </c>
      <c r="BW110" s="5">
        <v>0</v>
      </c>
      <c r="BX110" s="5">
        <v>3</v>
      </c>
      <c r="BY110" s="5">
        <f>1+1/3</f>
        <v>1.3333333333333333</v>
      </c>
      <c r="BZ110" s="5">
        <v>0</v>
      </c>
      <c r="CA110" s="5">
        <v>0</v>
      </c>
      <c r="CB110" s="5">
        <v>0</v>
      </c>
      <c r="CC110" s="5">
        <f>(BV110+BW110/2+BX110/8+BY110/16+BZ110/4+CA110/32)*39</f>
        <v>17.875</v>
      </c>
      <c r="CD110" s="5">
        <v>0</v>
      </c>
      <c r="CE110" s="5">
        <v>0</v>
      </c>
      <c r="CF110" s="5">
        <v>1</v>
      </c>
      <c r="CG110" s="5">
        <f>1+1/3</f>
        <v>1.3333333333333333</v>
      </c>
      <c r="CH110" s="5">
        <v>0</v>
      </c>
      <c r="CI110" s="5">
        <v>0</v>
      </c>
      <c r="CJ110" s="5">
        <v>0</v>
      </c>
      <c r="CK110" s="5">
        <v>0</v>
      </c>
      <c r="CL110" s="5">
        <f>(CD110+CE110/2+CF110/8+CG110/16+CH110/4+CJ110/32+CK110/16)*39</f>
        <v>8.125</v>
      </c>
      <c r="CM110" s="5">
        <v>0</v>
      </c>
      <c r="CN110" s="5">
        <v>0</v>
      </c>
      <c r="CO110" s="5">
        <v>0</v>
      </c>
      <c r="CP110" s="5">
        <v>0</v>
      </c>
      <c r="CQ110" s="5">
        <v>0</v>
      </c>
      <c r="CR110" t="s">
        <v>307</v>
      </c>
      <c r="CS110">
        <f>9+8/12</f>
        <v>9.6666666666666661</v>
      </c>
      <c r="CT110">
        <f>1+1/3</f>
        <v>1.3333333333333333</v>
      </c>
      <c r="CU110">
        <v>0</v>
      </c>
      <c r="CV110">
        <v>0</v>
      </c>
      <c r="CW110">
        <f>CS110+CT110/24+CU110/48+CV110/48</f>
        <v>9.7222222222222214</v>
      </c>
      <c r="CX110">
        <v>0</v>
      </c>
      <c r="CY110" t="s">
        <v>307</v>
      </c>
      <c r="CZ110" t="s">
        <v>210</v>
      </c>
      <c r="DC110" t="s">
        <v>262</v>
      </c>
      <c r="DD110" t="s">
        <v>693</v>
      </c>
      <c r="DE110" t="s">
        <v>1403</v>
      </c>
      <c r="DF110" t="s">
        <v>1095</v>
      </c>
      <c r="DG110" t="s">
        <v>1404</v>
      </c>
    </row>
    <row r="111" spans="1:114" x14ac:dyDescent="0.25">
      <c r="A111">
        <v>1101</v>
      </c>
      <c r="C111" t="s">
        <v>19</v>
      </c>
      <c r="D111" t="s">
        <v>1319</v>
      </c>
      <c r="E111" t="s">
        <v>1318</v>
      </c>
      <c r="G111" t="s">
        <v>1396</v>
      </c>
      <c r="I111" t="s">
        <v>219</v>
      </c>
      <c r="J111">
        <v>1343</v>
      </c>
      <c r="K111" t="s">
        <v>383</v>
      </c>
      <c r="L111">
        <v>13</v>
      </c>
      <c r="M111" s="7" t="s">
        <v>338</v>
      </c>
      <c r="N111" t="s">
        <v>236</v>
      </c>
      <c r="O111" t="s">
        <v>201</v>
      </c>
      <c r="P111" t="s">
        <v>225</v>
      </c>
      <c r="Q111" s="19" t="s">
        <v>205</v>
      </c>
      <c r="R111" t="s">
        <v>205</v>
      </c>
      <c r="S111" t="s">
        <v>205</v>
      </c>
      <c r="T111" t="s">
        <v>225</v>
      </c>
      <c r="U111" t="s">
        <v>277</v>
      </c>
      <c r="V111" t="s">
        <v>204</v>
      </c>
      <c r="W111">
        <v>1</v>
      </c>
      <c r="X111" t="s">
        <v>225</v>
      </c>
      <c r="Y111" t="s">
        <v>225</v>
      </c>
      <c r="Z111" t="s">
        <v>225</v>
      </c>
      <c r="AA111" t="s">
        <v>225</v>
      </c>
      <c r="AB111" t="s">
        <v>225</v>
      </c>
      <c r="AC111" t="s">
        <v>225</v>
      </c>
      <c r="AD111" t="s">
        <v>205</v>
      </c>
      <c r="AE111" t="s">
        <v>225</v>
      </c>
      <c r="AF111" t="s">
        <v>225</v>
      </c>
      <c r="AG111" t="s">
        <v>225</v>
      </c>
      <c r="AH111" t="s">
        <v>225</v>
      </c>
      <c r="AI111" t="s">
        <v>225</v>
      </c>
      <c r="AJ111" t="s">
        <v>225</v>
      </c>
      <c r="AK111" t="s">
        <v>225</v>
      </c>
      <c r="AL111" t="s">
        <v>225</v>
      </c>
      <c r="AM111" t="s">
        <v>225</v>
      </c>
      <c r="AN111" t="s">
        <v>225</v>
      </c>
      <c r="AO111" t="s">
        <v>225</v>
      </c>
      <c r="AP111" t="s">
        <v>225</v>
      </c>
      <c r="AQ111" t="s">
        <v>225</v>
      </c>
      <c r="AR111" t="s">
        <v>225</v>
      </c>
      <c r="AS111" t="s">
        <v>225</v>
      </c>
      <c r="AT111">
        <v>1</v>
      </c>
      <c r="AU111" t="s">
        <v>225</v>
      </c>
      <c r="AV111" t="s">
        <v>225</v>
      </c>
      <c r="AW111" t="s">
        <v>225</v>
      </c>
      <c r="AX111" t="s">
        <v>225</v>
      </c>
      <c r="AY111" t="s">
        <v>225</v>
      </c>
      <c r="AZ111" t="s">
        <v>225</v>
      </c>
      <c r="BA111" t="s">
        <v>225</v>
      </c>
      <c r="BB111" t="s">
        <v>225</v>
      </c>
      <c r="BC111" t="s">
        <v>225</v>
      </c>
      <c r="BD111" t="s">
        <v>225</v>
      </c>
      <c r="BE111" t="s">
        <v>225</v>
      </c>
      <c r="BF111" t="s">
        <v>225</v>
      </c>
      <c r="BG111" t="s">
        <v>225</v>
      </c>
      <c r="BH111" t="s">
        <v>225</v>
      </c>
      <c r="BI111" t="s">
        <v>225</v>
      </c>
      <c r="BJ111" t="s">
        <v>225</v>
      </c>
      <c r="BK111" t="s">
        <v>225</v>
      </c>
      <c r="BL111" t="s">
        <v>205</v>
      </c>
      <c r="BN111" t="s">
        <v>1402</v>
      </c>
      <c r="BO111" t="s">
        <v>1399</v>
      </c>
      <c r="BQ111" s="1" t="s">
        <v>929</v>
      </c>
      <c r="BR111" s="5">
        <v>1</v>
      </c>
      <c r="BS111" s="5">
        <v>0</v>
      </c>
      <c r="BT111" s="5">
        <v>0</v>
      </c>
      <c r="BU111" s="5">
        <f>(BS111/8+BT111/4)*39</f>
        <v>0</v>
      </c>
      <c r="BV111" s="5">
        <v>0</v>
      </c>
      <c r="BW111" s="5">
        <v>0</v>
      </c>
      <c r="BX111" s="5">
        <v>3</v>
      </c>
      <c r="BY111" s="5">
        <f>1+1/3</f>
        <v>1.3333333333333333</v>
      </c>
      <c r="BZ111" s="5">
        <v>0</v>
      </c>
      <c r="CA111" s="5">
        <v>0</v>
      </c>
      <c r="CB111" s="5">
        <v>0</v>
      </c>
      <c r="CC111" s="5">
        <f>(BV111+BW111/2+BX111/8+BY111/16+BZ111/4+CA111/32)*39</f>
        <v>17.875</v>
      </c>
      <c r="CD111" s="5">
        <v>0</v>
      </c>
      <c r="CE111" s="5">
        <v>0</v>
      </c>
      <c r="CF111" s="5">
        <v>1</v>
      </c>
      <c r="CG111" s="5">
        <f>1+1/3</f>
        <v>1.3333333333333333</v>
      </c>
      <c r="CH111" s="5">
        <v>0</v>
      </c>
      <c r="CI111" s="5">
        <v>0</v>
      </c>
      <c r="CJ111" s="5">
        <v>0</v>
      </c>
      <c r="CK111" s="5">
        <v>0</v>
      </c>
      <c r="CL111" s="5">
        <f>(CD111+CE111/2+CF111/8+CG111/16+CH111/4+CJ111/32+CK111/16)*39</f>
        <v>8.125</v>
      </c>
      <c r="CM111" s="5">
        <v>0</v>
      </c>
      <c r="CN111" s="5">
        <v>0</v>
      </c>
      <c r="CO111" s="5">
        <v>0</v>
      </c>
      <c r="CP111" s="5">
        <v>0</v>
      </c>
      <c r="CQ111" s="5">
        <v>0</v>
      </c>
      <c r="CR111" t="s">
        <v>1400</v>
      </c>
      <c r="CS111">
        <f>9+8/12+6/12</f>
        <v>10.166666666666666</v>
      </c>
      <c r="CT111">
        <f>1+1/3</f>
        <v>1.3333333333333333</v>
      </c>
      <c r="CU111">
        <v>0</v>
      </c>
      <c r="CV111">
        <v>0</v>
      </c>
      <c r="CW111">
        <f>CS111+CT111/24+CU111/48+CV111/48</f>
        <v>10.222222222222221</v>
      </c>
      <c r="CX111">
        <v>0</v>
      </c>
      <c r="CZ111" t="s">
        <v>210</v>
      </c>
      <c r="DA111" t="s">
        <v>1359</v>
      </c>
      <c r="DB111" t="s">
        <v>405</v>
      </c>
      <c r="DC111" t="s">
        <v>262</v>
      </c>
      <c r="DD111" t="s">
        <v>693</v>
      </c>
      <c r="DE111" t="s">
        <v>1403</v>
      </c>
      <c r="DF111" t="s">
        <v>1095</v>
      </c>
      <c r="DG111" t="s">
        <v>1404</v>
      </c>
      <c r="DJ111" t="s">
        <v>1339</v>
      </c>
    </row>
    <row r="112" spans="1:114" x14ac:dyDescent="0.25">
      <c r="A112">
        <v>751</v>
      </c>
      <c r="B112" t="s">
        <v>788</v>
      </c>
      <c r="C112" t="s">
        <v>11</v>
      </c>
      <c r="D112" t="s">
        <v>89</v>
      </c>
      <c r="E112" t="s">
        <v>776</v>
      </c>
      <c r="G112" t="s">
        <v>849</v>
      </c>
      <c r="I112" t="s">
        <v>219</v>
      </c>
      <c r="J112">
        <v>1343</v>
      </c>
      <c r="K112" t="s">
        <v>383</v>
      </c>
      <c r="L112">
        <v>13</v>
      </c>
      <c r="M112" s="7" t="s">
        <v>338</v>
      </c>
      <c r="N112" t="s">
        <v>986</v>
      </c>
      <c r="V112" t="s">
        <v>204</v>
      </c>
      <c r="W112" t="s">
        <v>225</v>
      </c>
      <c r="X112">
        <v>1</v>
      </c>
      <c r="Y112">
        <v>2</v>
      </c>
      <c r="Z112" t="s">
        <v>225</v>
      </c>
      <c r="AA112" t="s">
        <v>225</v>
      </c>
      <c r="AB112" t="s">
        <v>225</v>
      </c>
      <c r="AC112">
        <v>2</v>
      </c>
      <c r="AD112" t="s">
        <v>205</v>
      </c>
      <c r="AE112" t="s">
        <v>225</v>
      </c>
      <c r="AF112" t="s">
        <v>225</v>
      </c>
      <c r="AG112" t="s">
        <v>225</v>
      </c>
      <c r="AH112" t="s">
        <v>225</v>
      </c>
      <c r="AI112" t="s">
        <v>225</v>
      </c>
      <c r="AJ112" t="s">
        <v>225</v>
      </c>
      <c r="AK112" t="s">
        <v>225</v>
      </c>
      <c r="AL112" t="s">
        <v>225</v>
      </c>
      <c r="AM112" t="s">
        <v>225</v>
      </c>
      <c r="AN112" t="s">
        <v>225</v>
      </c>
      <c r="AO112" t="s">
        <v>225</v>
      </c>
      <c r="AP112">
        <v>3</v>
      </c>
      <c r="AQ112">
        <v>1</v>
      </c>
      <c r="AR112" t="s">
        <v>225</v>
      </c>
      <c r="AS112" t="s">
        <v>225</v>
      </c>
      <c r="AT112" t="s">
        <v>225</v>
      </c>
      <c r="AU112" t="s">
        <v>225</v>
      </c>
      <c r="AV112" t="s">
        <v>225</v>
      </c>
      <c r="AW112" t="s">
        <v>225</v>
      </c>
      <c r="AX112" t="s">
        <v>225</v>
      </c>
      <c r="AY112" t="s">
        <v>225</v>
      </c>
      <c r="AZ112" t="s">
        <v>225</v>
      </c>
      <c r="BA112" t="s">
        <v>225</v>
      </c>
      <c r="BB112" t="s">
        <v>225</v>
      </c>
      <c r="BC112" t="s">
        <v>225</v>
      </c>
      <c r="BD112" t="s">
        <v>225</v>
      </c>
      <c r="BE112" t="s">
        <v>225</v>
      </c>
      <c r="BF112" t="s">
        <v>225</v>
      </c>
      <c r="BG112" t="s">
        <v>225</v>
      </c>
      <c r="BH112" t="s">
        <v>225</v>
      </c>
      <c r="BI112" t="s">
        <v>225</v>
      </c>
      <c r="BJ112" t="s">
        <v>225</v>
      </c>
      <c r="BK112" t="s">
        <v>225</v>
      </c>
      <c r="BL112" t="s">
        <v>225</v>
      </c>
      <c r="BN112" t="s">
        <v>874</v>
      </c>
      <c r="BQ112" t="s">
        <v>1455</v>
      </c>
      <c r="BR112" s="5">
        <v>0</v>
      </c>
      <c r="BS112" s="5">
        <v>0</v>
      </c>
      <c r="BT112" s="5">
        <v>1</v>
      </c>
      <c r="BU112" s="5">
        <f>(BS112/8+BT112/4)*39</f>
        <v>9.75</v>
      </c>
      <c r="BV112" s="5">
        <v>0</v>
      </c>
      <c r="BW112" s="5">
        <v>0</v>
      </c>
      <c r="BX112" s="5">
        <v>0</v>
      </c>
      <c r="BY112" s="5">
        <v>0</v>
      </c>
      <c r="BZ112" s="5">
        <v>1</v>
      </c>
      <c r="CA112" s="5">
        <v>0</v>
      </c>
      <c r="CB112" s="5">
        <v>0</v>
      </c>
      <c r="CC112" s="5">
        <f>(BV112+BW112/2+BX112/8+BY112/16+BZ112/4+CA112/32)*39</f>
        <v>9.75</v>
      </c>
      <c r="CD112" s="5">
        <v>0</v>
      </c>
      <c r="CE112" s="5">
        <v>0</v>
      </c>
      <c r="CF112" s="5">
        <v>0</v>
      </c>
      <c r="CG112" s="5">
        <v>0</v>
      </c>
      <c r="CH112" s="5">
        <v>1</v>
      </c>
      <c r="CI112" s="5">
        <v>0</v>
      </c>
      <c r="CJ112" s="5">
        <v>0</v>
      </c>
      <c r="CK112" s="5">
        <v>0</v>
      </c>
      <c r="CL112" s="5">
        <f>(CD112+CE112/2+CF112/8+CG112/16+CH112/4+CJ112/32+CK112/16)*39</f>
        <v>9.75</v>
      </c>
      <c r="CM112" s="5">
        <v>0</v>
      </c>
      <c r="CN112" s="5">
        <v>0</v>
      </c>
      <c r="CO112" s="5">
        <v>0</v>
      </c>
      <c r="CP112" s="5">
        <v>0</v>
      </c>
      <c r="CQ112" s="5">
        <v>0</v>
      </c>
      <c r="CS112">
        <f>6/12</f>
        <v>0.5</v>
      </c>
      <c r="CT112">
        <v>0</v>
      </c>
      <c r="CU112">
        <v>0</v>
      </c>
      <c r="CV112">
        <v>0</v>
      </c>
      <c r="CW112">
        <f>CS112+CT112/24+CU112/48+CV112/48</f>
        <v>0.5</v>
      </c>
      <c r="CX112">
        <v>0</v>
      </c>
      <c r="CZ112" t="s">
        <v>210</v>
      </c>
      <c r="DB112" t="s">
        <v>892</v>
      </c>
      <c r="DC112" t="s">
        <v>262</v>
      </c>
      <c r="DD112" t="s">
        <v>693</v>
      </c>
      <c r="DE112" t="s">
        <v>263</v>
      </c>
      <c r="DF112" t="s">
        <v>878</v>
      </c>
      <c r="DG112" t="s">
        <v>879</v>
      </c>
      <c r="DJ112" t="s">
        <v>483</v>
      </c>
    </row>
    <row r="113" spans="1:114" x14ac:dyDescent="0.25">
      <c r="A113">
        <v>1315</v>
      </c>
      <c r="C113" t="s">
        <v>1783</v>
      </c>
      <c r="D113" t="s">
        <v>89</v>
      </c>
      <c r="E113" t="s">
        <v>3921</v>
      </c>
      <c r="I113" t="s">
        <v>219</v>
      </c>
      <c r="J113">
        <v>1343</v>
      </c>
      <c r="K113" t="s">
        <v>1097</v>
      </c>
      <c r="L113">
        <v>11</v>
      </c>
      <c r="M113" s="7" t="s">
        <v>338</v>
      </c>
      <c r="N113" t="s">
        <v>986</v>
      </c>
      <c r="W113" t="s">
        <v>225</v>
      </c>
      <c r="X113" t="s">
        <v>225</v>
      </c>
      <c r="Y113" t="s">
        <v>225</v>
      </c>
      <c r="Z113" t="s">
        <v>225</v>
      </c>
      <c r="AA113" t="s">
        <v>225</v>
      </c>
      <c r="AB113" t="s">
        <v>225</v>
      </c>
      <c r="AC113" t="s">
        <v>225</v>
      </c>
      <c r="AD113" t="s">
        <v>225</v>
      </c>
      <c r="AE113" t="s">
        <v>225</v>
      </c>
      <c r="AF113" t="s">
        <v>225</v>
      </c>
      <c r="AG113" t="s">
        <v>225</v>
      </c>
      <c r="AH113" t="s">
        <v>225</v>
      </c>
      <c r="AI113" t="s">
        <v>225</v>
      </c>
      <c r="AJ113" t="s">
        <v>225</v>
      </c>
      <c r="AK113" t="s">
        <v>225</v>
      </c>
      <c r="AL113" t="s">
        <v>225</v>
      </c>
      <c r="AM113" t="s">
        <v>225</v>
      </c>
      <c r="AN113" t="s">
        <v>225</v>
      </c>
      <c r="AO113" t="s">
        <v>225</v>
      </c>
      <c r="AP113" t="s">
        <v>225</v>
      </c>
      <c r="AQ113" t="s">
        <v>225</v>
      </c>
      <c r="AR113" t="s">
        <v>225</v>
      </c>
      <c r="AS113" t="s">
        <v>225</v>
      </c>
      <c r="AT113" t="s">
        <v>225</v>
      </c>
      <c r="AU113" t="s">
        <v>225</v>
      </c>
      <c r="AV113" t="s">
        <v>225</v>
      </c>
      <c r="AW113" t="s">
        <v>225</v>
      </c>
      <c r="AX113">
        <v>1</v>
      </c>
      <c r="AY113" t="s">
        <v>225</v>
      </c>
      <c r="AZ113" t="s">
        <v>225</v>
      </c>
      <c r="BA113" t="s">
        <v>225</v>
      </c>
      <c r="BB113" t="s">
        <v>225</v>
      </c>
      <c r="BC113" t="s">
        <v>225</v>
      </c>
      <c r="BD113" t="s">
        <v>225</v>
      </c>
      <c r="BE113" t="s">
        <v>225</v>
      </c>
      <c r="BF113" t="s">
        <v>225</v>
      </c>
      <c r="BG113" t="s">
        <v>225</v>
      </c>
      <c r="BH113" t="s">
        <v>225</v>
      </c>
      <c r="BI113" t="s">
        <v>225</v>
      </c>
      <c r="BJ113" t="s">
        <v>225</v>
      </c>
      <c r="BK113" t="s">
        <v>225</v>
      </c>
      <c r="BL113" t="s">
        <v>225</v>
      </c>
      <c r="BN113" s="5" t="s">
        <v>1746</v>
      </c>
      <c r="BR113" s="5">
        <v>0</v>
      </c>
      <c r="BS113" s="5">
        <v>0</v>
      </c>
      <c r="BT113" s="5">
        <v>0</v>
      </c>
      <c r="BU113" s="5">
        <f>(BS113/8+BT113/4)*39</f>
        <v>0</v>
      </c>
      <c r="BV113" s="5">
        <v>0</v>
      </c>
      <c r="BW113" s="5">
        <v>0</v>
      </c>
      <c r="BX113" s="5">
        <v>0</v>
      </c>
      <c r="BY113" s="5">
        <v>0</v>
      </c>
      <c r="BZ113" s="5">
        <v>0</v>
      </c>
      <c r="CA113" s="5">
        <v>0</v>
      </c>
      <c r="CB113" s="5">
        <v>0</v>
      </c>
      <c r="CC113" s="5">
        <f>(BV113+BW113/2+BX113/8+BY113/16+BZ113/4+CA113/32)*39</f>
        <v>0</v>
      </c>
      <c r="CD113" s="5">
        <v>0</v>
      </c>
      <c r="CE113" s="5">
        <v>0</v>
      </c>
      <c r="CF113" s="5">
        <v>0</v>
      </c>
      <c r="CG113" s="5">
        <v>0</v>
      </c>
      <c r="CH113" s="5">
        <v>0</v>
      </c>
      <c r="CI113" s="5">
        <v>0</v>
      </c>
      <c r="CJ113" s="5">
        <v>0</v>
      </c>
      <c r="CK113" s="5">
        <v>0</v>
      </c>
      <c r="CL113" s="5">
        <f>(CD113+CE113/2+CF113/8+CG113/16+CH113/4+CJ113/32+CK113/16)*39</f>
        <v>0</v>
      </c>
      <c r="CM113" s="5">
        <v>0</v>
      </c>
      <c r="CN113" s="5">
        <v>0</v>
      </c>
      <c r="CO113" s="5">
        <v>0</v>
      </c>
      <c r="CP113" s="5">
        <v>0</v>
      </c>
      <c r="CQ113" s="5">
        <v>0</v>
      </c>
      <c r="CS113">
        <v>0</v>
      </c>
      <c r="CT113">
        <v>1</v>
      </c>
      <c r="CU113">
        <v>0</v>
      </c>
      <c r="CV113">
        <v>0</v>
      </c>
      <c r="CW113">
        <f>CS113+CT113/24+CU113/48+CV113/48</f>
        <v>4.1666666666666664E-2</v>
      </c>
      <c r="CX113">
        <v>0</v>
      </c>
      <c r="CZ113" t="s">
        <v>210</v>
      </c>
      <c r="DC113" t="s">
        <v>1789</v>
      </c>
      <c r="DD113" t="s">
        <v>693</v>
      </c>
      <c r="DE113" t="s">
        <v>1790</v>
      </c>
    </row>
    <row r="114" spans="1:114" x14ac:dyDescent="0.25">
      <c r="A114">
        <v>1802</v>
      </c>
      <c r="C114" t="s">
        <v>3311</v>
      </c>
      <c r="D114" t="s">
        <v>3312</v>
      </c>
      <c r="E114" t="s">
        <v>3313</v>
      </c>
      <c r="G114" t="s">
        <v>3314</v>
      </c>
      <c r="H114" t="s">
        <v>3315</v>
      </c>
      <c r="I114" t="s">
        <v>219</v>
      </c>
      <c r="J114" s="5">
        <v>1344</v>
      </c>
      <c r="K114" t="s">
        <v>265</v>
      </c>
      <c r="L114">
        <v>13</v>
      </c>
      <c r="M114" s="7" t="s">
        <v>338</v>
      </c>
      <c r="N114" t="s">
        <v>3325</v>
      </c>
      <c r="V114" t="s">
        <v>1463</v>
      </c>
      <c r="W114" t="s">
        <v>225</v>
      </c>
      <c r="X114" t="s">
        <v>225</v>
      </c>
      <c r="Y114" t="s">
        <v>205</v>
      </c>
      <c r="Z114" t="s">
        <v>225</v>
      </c>
      <c r="AA114" t="s">
        <v>225</v>
      </c>
      <c r="AB114" t="s">
        <v>225</v>
      </c>
      <c r="AC114" t="s">
        <v>225</v>
      </c>
      <c r="AD114" t="s">
        <v>225</v>
      </c>
      <c r="AE114" t="s">
        <v>225</v>
      </c>
      <c r="AF114" t="s">
        <v>225</v>
      </c>
      <c r="AG114" t="s">
        <v>225</v>
      </c>
      <c r="AH114" t="s">
        <v>225</v>
      </c>
      <c r="AI114" t="s">
        <v>225</v>
      </c>
      <c r="AJ114" t="s">
        <v>225</v>
      </c>
      <c r="AK114" t="s">
        <v>225</v>
      </c>
      <c r="AL114" t="s">
        <v>225</v>
      </c>
      <c r="AM114" t="s">
        <v>225</v>
      </c>
      <c r="AN114" t="s">
        <v>225</v>
      </c>
      <c r="AO114" t="s">
        <v>225</v>
      </c>
      <c r="AP114" t="s">
        <v>225</v>
      </c>
      <c r="AQ114" t="s">
        <v>225</v>
      </c>
      <c r="AR114" t="s">
        <v>225</v>
      </c>
      <c r="AS114" t="s">
        <v>225</v>
      </c>
      <c r="AT114" t="s">
        <v>225</v>
      </c>
      <c r="AU114">
        <v>1</v>
      </c>
      <c r="AV114" t="s">
        <v>225</v>
      </c>
      <c r="AW114" t="s">
        <v>225</v>
      </c>
      <c r="AX114" t="s">
        <v>225</v>
      </c>
      <c r="AY114" t="s">
        <v>225</v>
      </c>
      <c r="AZ114" t="s">
        <v>225</v>
      </c>
      <c r="BA114" t="s">
        <v>225</v>
      </c>
      <c r="BB114" t="s">
        <v>225</v>
      </c>
      <c r="BC114" t="s">
        <v>225</v>
      </c>
      <c r="BD114" t="s">
        <v>225</v>
      </c>
      <c r="BE114" t="s">
        <v>225</v>
      </c>
      <c r="BF114" t="s">
        <v>225</v>
      </c>
      <c r="BG114" t="s">
        <v>225</v>
      </c>
      <c r="BH114" t="s">
        <v>225</v>
      </c>
      <c r="BI114" t="s">
        <v>225</v>
      </c>
      <c r="BJ114" t="s">
        <v>225</v>
      </c>
      <c r="BK114" t="s">
        <v>225</v>
      </c>
      <c r="BL114" t="s">
        <v>225</v>
      </c>
      <c r="BN114" t="s">
        <v>3324</v>
      </c>
      <c r="BP114" t="s">
        <v>461</v>
      </c>
      <c r="BQ114" t="s">
        <v>539</v>
      </c>
      <c r="BR114" s="5">
        <v>0</v>
      </c>
      <c r="BS114" s="5">
        <v>0</v>
      </c>
      <c r="BT114" s="5">
        <v>0</v>
      </c>
      <c r="BU114" s="5">
        <f>(BS114/8+BT114/4)*39</f>
        <v>0</v>
      </c>
      <c r="BV114" s="5">
        <v>0</v>
      </c>
      <c r="BW114" s="5">
        <v>0</v>
      </c>
      <c r="BX114" s="5">
        <v>0</v>
      </c>
      <c r="BY114" s="5">
        <v>1</v>
      </c>
      <c r="BZ114" s="5">
        <v>0</v>
      </c>
      <c r="CA114" s="5">
        <v>0</v>
      </c>
      <c r="CB114" s="5">
        <v>0</v>
      </c>
      <c r="CC114" s="5">
        <f>(BV114+BW114/2+BX114/8+BY114/16+BZ114/4+CA114/32)*39</f>
        <v>2.4375</v>
      </c>
      <c r="CD114" s="5">
        <v>0</v>
      </c>
      <c r="CE114" s="5">
        <v>0</v>
      </c>
      <c r="CF114" s="5">
        <v>0</v>
      </c>
      <c r="CG114" s="5">
        <f>1/2+1/2</f>
        <v>1</v>
      </c>
      <c r="CH114" s="5">
        <v>0</v>
      </c>
      <c r="CI114" s="5">
        <v>0</v>
      </c>
      <c r="CJ114" s="5">
        <v>0</v>
      </c>
      <c r="CK114" s="5">
        <v>0</v>
      </c>
      <c r="CL114" s="5">
        <f>(CD114+CE114/2+CF114/8+CG114/16+CH114/4+CJ114/32+CK114/16)*39</f>
        <v>2.4375</v>
      </c>
      <c r="CM114" s="5">
        <v>0</v>
      </c>
      <c r="CN114" s="5">
        <v>0</v>
      </c>
      <c r="CO114" s="5">
        <v>0</v>
      </c>
      <c r="CP114" s="5">
        <v>0</v>
      </c>
      <c r="CQ114" s="5">
        <v>0</v>
      </c>
      <c r="CR114" t="s">
        <v>3324</v>
      </c>
      <c r="CS114">
        <v>6</v>
      </c>
      <c r="CT114">
        <v>0</v>
      </c>
      <c r="CU114">
        <v>0</v>
      </c>
      <c r="CV114">
        <v>0</v>
      </c>
      <c r="CW114">
        <f>CS114+CT114/24+CU114/48+CV114/48</f>
        <v>6</v>
      </c>
      <c r="CX114">
        <v>0</v>
      </c>
      <c r="CZ114" t="s">
        <v>210</v>
      </c>
      <c r="DA114" t="s">
        <v>1733</v>
      </c>
      <c r="DB114" t="s">
        <v>3326</v>
      </c>
      <c r="DC114" t="s">
        <v>262</v>
      </c>
      <c r="DD114" t="s">
        <v>693</v>
      </c>
      <c r="DE114" t="s">
        <v>3327</v>
      </c>
      <c r="DF114" t="s">
        <v>3328</v>
      </c>
      <c r="DG114" t="s">
        <v>3329</v>
      </c>
    </row>
    <row r="115" spans="1:114" x14ac:dyDescent="0.25">
      <c r="A115">
        <v>451</v>
      </c>
      <c r="C115" t="s">
        <v>23</v>
      </c>
      <c r="D115" t="s">
        <v>94</v>
      </c>
      <c r="E115" t="s">
        <v>549</v>
      </c>
      <c r="F115" t="s">
        <v>492</v>
      </c>
      <c r="I115" t="s">
        <v>219</v>
      </c>
      <c r="J115">
        <v>1343</v>
      </c>
      <c r="K115" t="s">
        <v>249</v>
      </c>
      <c r="L115">
        <v>9</v>
      </c>
      <c r="M115" s="14" t="s">
        <v>338</v>
      </c>
      <c r="N115" t="s">
        <v>236</v>
      </c>
      <c r="O115" t="s">
        <v>201</v>
      </c>
      <c r="P115" t="s">
        <v>225</v>
      </c>
      <c r="Q115" t="s">
        <v>205</v>
      </c>
      <c r="R115" t="s">
        <v>205</v>
      </c>
      <c r="S115" t="s">
        <v>205</v>
      </c>
      <c r="T115" t="s">
        <v>225</v>
      </c>
      <c r="U115" t="s">
        <v>277</v>
      </c>
      <c r="V115" t="s">
        <v>204</v>
      </c>
      <c r="W115">
        <v>1</v>
      </c>
      <c r="X115" t="s">
        <v>205</v>
      </c>
      <c r="Y115" t="s">
        <v>205</v>
      </c>
      <c r="Z115" t="s">
        <v>205</v>
      </c>
      <c r="AA115" t="s">
        <v>205</v>
      </c>
      <c r="AB115" t="s">
        <v>205</v>
      </c>
      <c r="AC115" t="s">
        <v>205</v>
      </c>
      <c r="AD115" t="s">
        <v>225</v>
      </c>
      <c r="AE115" t="s">
        <v>205</v>
      </c>
      <c r="AF115" t="s">
        <v>225</v>
      </c>
      <c r="AG115">
        <v>1</v>
      </c>
      <c r="AH115" t="s">
        <v>225</v>
      </c>
      <c r="AI115" t="s">
        <v>225</v>
      </c>
      <c r="AJ115" t="s">
        <v>225</v>
      </c>
      <c r="AK115" t="s">
        <v>225</v>
      </c>
      <c r="AL115" t="s">
        <v>225</v>
      </c>
      <c r="AM115" t="s">
        <v>225</v>
      </c>
      <c r="AN115" t="s">
        <v>225</v>
      </c>
      <c r="AO115" t="s">
        <v>225</v>
      </c>
      <c r="AP115" t="s">
        <v>225</v>
      </c>
      <c r="AQ115" t="s">
        <v>225</v>
      </c>
      <c r="AR115" t="s">
        <v>225</v>
      </c>
      <c r="AS115" t="s">
        <v>225</v>
      </c>
      <c r="AT115" t="s">
        <v>225</v>
      </c>
      <c r="AU115" t="s">
        <v>225</v>
      </c>
      <c r="AV115" t="s">
        <v>225</v>
      </c>
      <c r="AW115" t="s">
        <v>225</v>
      </c>
      <c r="AX115" t="s">
        <v>225</v>
      </c>
      <c r="AY115" t="s">
        <v>225</v>
      </c>
      <c r="AZ115" t="s">
        <v>225</v>
      </c>
      <c r="BA115" t="s">
        <v>225</v>
      </c>
      <c r="BB115" t="s">
        <v>225</v>
      </c>
      <c r="BC115" t="s">
        <v>225</v>
      </c>
      <c r="BD115" t="s">
        <v>225</v>
      </c>
      <c r="BE115" t="s">
        <v>225</v>
      </c>
      <c r="BF115" t="s">
        <v>225</v>
      </c>
      <c r="BG115" t="s">
        <v>225</v>
      </c>
      <c r="BH115" t="s">
        <v>225</v>
      </c>
      <c r="BI115" t="s">
        <v>225</v>
      </c>
      <c r="BJ115" t="s">
        <v>225</v>
      </c>
      <c r="BK115" t="s">
        <v>225</v>
      </c>
      <c r="BL115" t="s">
        <v>205</v>
      </c>
      <c r="BO115" t="s">
        <v>494</v>
      </c>
      <c r="BQ115" t="s">
        <v>3561</v>
      </c>
      <c r="BR115">
        <v>1</v>
      </c>
      <c r="BS115">
        <v>0</v>
      </c>
      <c r="BT115">
        <v>0</v>
      </c>
      <c r="BU115" s="5">
        <f>(BS115/8+BT115/4)*39</f>
        <v>0</v>
      </c>
      <c r="BV115">
        <v>0</v>
      </c>
      <c r="BW115" s="5">
        <v>0</v>
      </c>
      <c r="BX115" s="8">
        <v>10</v>
      </c>
      <c r="BY115">
        <v>0</v>
      </c>
      <c r="BZ115">
        <v>0</v>
      </c>
      <c r="CA115">
        <v>0</v>
      </c>
      <c r="CB115">
        <v>0</v>
      </c>
      <c r="CC115" s="5">
        <f>(BV115+BW115/2+BX115/8+BY115/16+BZ115/4+CA115/32)*39</f>
        <v>48.75</v>
      </c>
      <c r="CD115">
        <v>0</v>
      </c>
      <c r="CE115">
        <v>0</v>
      </c>
      <c r="CF115">
        <v>1</v>
      </c>
      <c r="CG115">
        <v>0</v>
      </c>
      <c r="CH115">
        <v>0</v>
      </c>
      <c r="CI115">
        <v>0</v>
      </c>
      <c r="CJ115">
        <v>0</v>
      </c>
      <c r="CK115">
        <v>0</v>
      </c>
      <c r="CL115" s="5">
        <f>(CD115+CE115/2+CF115/8+CG115/16+CH115/4+CJ115/32+CK115/16)*39</f>
        <v>4.875</v>
      </c>
      <c r="CM115">
        <v>0</v>
      </c>
      <c r="CN115">
        <v>0</v>
      </c>
      <c r="CO115">
        <v>0</v>
      </c>
      <c r="CP115">
        <v>0</v>
      </c>
      <c r="CQ115">
        <v>0</v>
      </c>
      <c r="CR115" s="8" t="s">
        <v>468</v>
      </c>
      <c r="CS115">
        <f>8 + 4/12</f>
        <v>8.3333333333333339</v>
      </c>
      <c r="CT115">
        <v>0</v>
      </c>
      <c r="CU115">
        <v>0</v>
      </c>
      <c r="CV115">
        <v>0</v>
      </c>
      <c r="CW115">
        <f>CS115+CT115/24+CU115/48+CV115/48</f>
        <v>8.3333333333333339</v>
      </c>
      <c r="CX115">
        <v>0</v>
      </c>
      <c r="CY115" t="s">
        <v>248</v>
      </c>
      <c r="CZ115" t="s">
        <v>210</v>
      </c>
      <c r="DA115" t="s">
        <v>229</v>
      </c>
      <c r="DB115" t="s">
        <v>405</v>
      </c>
      <c r="DC115" t="s">
        <v>262</v>
      </c>
      <c r="DD115" t="s">
        <v>693</v>
      </c>
      <c r="DE115" t="s">
        <v>3966</v>
      </c>
      <c r="DF115" t="s">
        <v>3967</v>
      </c>
      <c r="DG115" t="s">
        <v>3968</v>
      </c>
      <c r="DH115" t="s">
        <v>3969</v>
      </c>
      <c r="DJ115" t="s">
        <v>483</v>
      </c>
    </row>
    <row r="116" spans="1:114" x14ac:dyDescent="0.25">
      <c r="A116">
        <v>461</v>
      </c>
      <c r="C116" t="s">
        <v>250</v>
      </c>
      <c r="D116" t="s">
        <v>94</v>
      </c>
      <c r="E116" t="s">
        <v>549</v>
      </c>
      <c r="F116" t="s">
        <v>492</v>
      </c>
      <c r="I116" t="s">
        <v>219</v>
      </c>
      <c r="J116">
        <v>1343</v>
      </c>
      <c r="K116" t="s">
        <v>249</v>
      </c>
      <c r="L116">
        <v>9</v>
      </c>
      <c r="M116" s="7" t="s">
        <v>338</v>
      </c>
      <c r="N116" t="s">
        <v>501</v>
      </c>
      <c r="O116" t="s">
        <v>201</v>
      </c>
      <c r="P116" t="s">
        <v>225</v>
      </c>
      <c r="Q116" t="s">
        <v>205</v>
      </c>
      <c r="R116" t="s">
        <v>205</v>
      </c>
      <c r="S116" t="s">
        <v>205</v>
      </c>
      <c r="T116" t="s">
        <v>225</v>
      </c>
      <c r="U116" t="s">
        <v>277</v>
      </c>
      <c r="V116" t="s">
        <v>204</v>
      </c>
      <c r="W116">
        <v>1</v>
      </c>
      <c r="X116">
        <v>1</v>
      </c>
      <c r="Y116" t="s">
        <v>205</v>
      </c>
      <c r="Z116" t="s">
        <v>205</v>
      </c>
      <c r="AA116">
        <v>1</v>
      </c>
      <c r="AB116" t="s">
        <v>205</v>
      </c>
      <c r="AC116" t="s">
        <v>205</v>
      </c>
      <c r="AE116" t="s">
        <v>205</v>
      </c>
      <c r="AF116" t="s">
        <v>205</v>
      </c>
      <c r="AG116">
        <v>1</v>
      </c>
      <c r="AH116" t="s">
        <v>225</v>
      </c>
      <c r="AI116" t="s">
        <v>225</v>
      </c>
      <c r="AJ116" t="s">
        <v>225</v>
      </c>
      <c r="AK116" t="s">
        <v>225</v>
      </c>
      <c r="AL116" t="s">
        <v>225</v>
      </c>
      <c r="AM116" t="s">
        <v>225</v>
      </c>
      <c r="AN116" t="s">
        <v>225</v>
      </c>
      <c r="AO116" t="s">
        <v>225</v>
      </c>
      <c r="AP116" t="s">
        <v>225</v>
      </c>
      <c r="AQ116" t="s">
        <v>225</v>
      </c>
      <c r="AR116" t="s">
        <v>225</v>
      </c>
      <c r="AS116" t="s">
        <v>225</v>
      </c>
      <c r="AT116" t="s">
        <v>225</v>
      </c>
      <c r="AU116" t="s">
        <v>225</v>
      </c>
      <c r="AV116" t="s">
        <v>225</v>
      </c>
      <c r="AW116" t="s">
        <v>225</v>
      </c>
      <c r="AX116" t="s">
        <v>225</v>
      </c>
      <c r="AY116" t="s">
        <v>225</v>
      </c>
      <c r="AZ116" t="s">
        <v>225</v>
      </c>
      <c r="BA116" t="s">
        <v>225</v>
      </c>
      <c r="BB116" t="s">
        <v>225</v>
      </c>
      <c r="BC116" t="s">
        <v>225</v>
      </c>
      <c r="BD116" t="s">
        <v>225</v>
      </c>
      <c r="BE116" t="s">
        <v>225</v>
      </c>
      <c r="BF116" t="s">
        <v>225</v>
      </c>
      <c r="BG116" t="s">
        <v>225</v>
      </c>
      <c r="BH116" t="s">
        <v>225</v>
      </c>
      <c r="BI116" t="s">
        <v>225</v>
      </c>
      <c r="BJ116" t="s">
        <v>225</v>
      </c>
      <c r="BK116" t="s">
        <v>225</v>
      </c>
      <c r="BL116" t="s">
        <v>205</v>
      </c>
      <c r="BO116" t="s">
        <v>494</v>
      </c>
      <c r="BQ116" t="s">
        <v>3561</v>
      </c>
      <c r="BR116">
        <v>1</v>
      </c>
      <c r="BS116">
        <v>0</v>
      </c>
      <c r="BT116">
        <v>0</v>
      </c>
      <c r="BU116" s="5">
        <f>(BS116/8+BT116/4)*39</f>
        <v>0</v>
      </c>
      <c r="BV116">
        <v>0</v>
      </c>
      <c r="BW116" s="5">
        <v>1</v>
      </c>
      <c r="BX116" s="8">
        <v>0</v>
      </c>
      <c r="BY116">
        <v>0</v>
      </c>
      <c r="BZ116">
        <v>0</v>
      </c>
      <c r="CA116">
        <v>0</v>
      </c>
      <c r="CB116">
        <v>0</v>
      </c>
      <c r="CC116" s="5">
        <f>(BV116+BW116/2+BX116/8+BY116/16+BZ116/4+CA116/32)*39</f>
        <v>19.5</v>
      </c>
      <c r="CD116">
        <v>0</v>
      </c>
      <c r="CE116">
        <v>0</v>
      </c>
      <c r="CF116">
        <f xml:space="preserve"> 1+1/3</f>
        <v>1.3333333333333333</v>
      </c>
      <c r="CG116">
        <v>0</v>
      </c>
      <c r="CH116">
        <v>0</v>
      </c>
      <c r="CI116">
        <v>0</v>
      </c>
      <c r="CJ116">
        <v>0</v>
      </c>
      <c r="CK116">
        <v>0</v>
      </c>
      <c r="CL116" s="5">
        <f>(CD116+CE116/2+CF116/8+CG116/16+CH116/4+CJ116/32+CK116/16)*39</f>
        <v>6.5</v>
      </c>
      <c r="CM116">
        <v>0</v>
      </c>
      <c r="CN116">
        <v>0</v>
      </c>
      <c r="CO116">
        <v>0</v>
      </c>
      <c r="CP116">
        <v>0</v>
      </c>
      <c r="CQ116">
        <v>0</v>
      </c>
      <c r="CS116">
        <f xml:space="preserve"> 3+4/12</f>
        <v>3.3333333333333335</v>
      </c>
      <c r="CT116">
        <v>0</v>
      </c>
      <c r="CU116">
        <v>0</v>
      </c>
      <c r="CV116">
        <v>0</v>
      </c>
      <c r="CW116">
        <f>CS116+CT116/24+CU116/48+CV116/48</f>
        <v>3.3333333333333335</v>
      </c>
      <c r="CX116">
        <v>0</v>
      </c>
      <c r="CY116" t="s">
        <v>248</v>
      </c>
      <c r="CZ116" t="s">
        <v>210</v>
      </c>
      <c r="DA116" t="s">
        <v>229</v>
      </c>
      <c r="DB116" t="s">
        <v>405</v>
      </c>
      <c r="DC116" t="s">
        <v>262</v>
      </c>
      <c r="DD116" t="s">
        <v>693</v>
      </c>
      <c r="DE116" t="s">
        <v>508</v>
      </c>
      <c r="DF116" t="s">
        <v>509</v>
      </c>
      <c r="DG116" t="s">
        <v>510</v>
      </c>
      <c r="DJ116" t="s">
        <v>483</v>
      </c>
    </row>
    <row r="117" spans="1:114" x14ac:dyDescent="0.25">
      <c r="A117">
        <v>1771</v>
      </c>
      <c r="C117" t="s">
        <v>3216</v>
      </c>
      <c r="D117" t="s">
        <v>3217</v>
      </c>
      <c r="E117" t="s">
        <v>3218</v>
      </c>
      <c r="G117" t="s">
        <v>1811</v>
      </c>
      <c r="I117" t="s">
        <v>3219</v>
      </c>
      <c r="J117" s="5">
        <v>1343</v>
      </c>
      <c r="K117" t="s">
        <v>1097</v>
      </c>
      <c r="L117">
        <v>5</v>
      </c>
      <c r="M117" s="7" t="s">
        <v>338</v>
      </c>
      <c r="N117" s="8" t="s">
        <v>3231</v>
      </c>
      <c r="V117" t="s">
        <v>1463</v>
      </c>
      <c r="W117" t="s">
        <v>225</v>
      </c>
      <c r="X117" t="s">
        <v>225</v>
      </c>
      <c r="Y117" t="s">
        <v>225</v>
      </c>
      <c r="Z117" t="s">
        <v>225</v>
      </c>
      <c r="AA117">
        <v>1</v>
      </c>
      <c r="AB117" t="s">
        <v>225</v>
      </c>
      <c r="AC117" t="s">
        <v>225</v>
      </c>
      <c r="AD117" t="s">
        <v>205</v>
      </c>
      <c r="AE117" t="s">
        <v>225</v>
      </c>
      <c r="AF117" t="s">
        <v>225</v>
      </c>
      <c r="AG117" t="s">
        <v>225</v>
      </c>
      <c r="AH117" t="s">
        <v>225</v>
      </c>
      <c r="AI117" t="s">
        <v>225</v>
      </c>
      <c r="AJ117" t="s">
        <v>225</v>
      </c>
      <c r="AK117" t="s">
        <v>225</v>
      </c>
      <c r="AL117" t="s">
        <v>225</v>
      </c>
      <c r="AM117" t="s">
        <v>225</v>
      </c>
      <c r="AN117" t="s">
        <v>225</v>
      </c>
      <c r="AO117" t="s">
        <v>225</v>
      </c>
      <c r="AP117" t="s">
        <v>225</v>
      </c>
      <c r="AQ117" t="s">
        <v>225</v>
      </c>
      <c r="AR117" t="s">
        <v>225</v>
      </c>
      <c r="AS117" t="s">
        <v>225</v>
      </c>
      <c r="AT117" t="s">
        <v>225</v>
      </c>
      <c r="AU117">
        <v>1</v>
      </c>
      <c r="AV117" t="s">
        <v>225</v>
      </c>
      <c r="AW117" t="s">
        <v>225</v>
      </c>
      <c r="AX117" t="s">
        <v>225</v>
      </c>
      <c r="AY117" t="s">
        <v>225</v>
      </c>
      <c r="AZ117" t="s">
        <v>225</v>
      </c>
      <c r="BA117" t="s">
        <v>225</v>
      </c>
      <c r="BB117" t="s">
        <v>225</v>
      </c>
      <c r="BC117" t="s">
        <v>225</v>
      </c>
      <c r="BD117" t="s">
        <v>225</v>
      </c>
      <c r="BE117" t="s">
        <v>225</v>
      </c>
      <c r="BF117" t="s">
        <v>225</v>
      </c>
      <c r="BG117" t="s">
        <v>225</v>
      </c>
      <c r="BH117" t="s">
        <v>225</v>
      </c>
      <c r="BI117" t="s">
        <v>225</v>
      </c>
      <c r="BJ117" t="s">
        <v>225</v>
      </c>
      <c r="BK117" t="s">
        <v>225</v>
      </c>
      <c r="BL117" t="s">
        <v>225</v>
      </c>
      <c r="BN117" t="s">
        <v>3230</v>
      </c>
      <c r="BQ117" t="s">
        <v>539</v>
      </c>
      <c r="BR117" s="5">
        <v>0</v>
      </c>
      <c r="BS117" s="5">
        <v>0</v>
      </c>
      <c r="BT117" s="5">
        <v>0</v>
      </c>
      <c r="BU117" s="5">
        <f>(BS117/8+BT117/4)*39</f>
        <v>0</v>
      </c>
      <c r="BV117" s="5">
        <v>1</v>
      </c>
      <c r="BW117" s="5">
        <v>0</v>
      </c>
      <c r="BX117" s="5">
        <v>0</v>
      </c>
      <c r="BY117" s="5">
        <v>0</v>
      </c>
      <c r="BZ117" s="5">
        <v>0</v>
      </c>
      <c r="CA117" s="5">
        <v>0</v>
      </c>
      <c r="CB117" s="5">
        <v>0</v>
      </c>
      <c r="CC117" s="5">
        <f>(BV117+BW117/2+BX117/8+BY117/16+BZ117/4+CA117/32)*39</f>
        <v>39</v>
      </c>
      <c r="CD117" s="5">
        <v>0</v>
      </c>
      <c r="CE117" s="5">
        <v>0</v>
      </c>
      <c r="CF117" s="5">
        <v>0</v>
      </c>
      <c r="CG117" s="5">
        <v>0</v>
      </c>
      <c r="CH117" s="5">
        <v>0</v>
      </c>
      <c r="CI117" s="5">
        <v>0</v>
      </c>
      <c r="CJ117" s="5">
        <v>0</v>
      </c>
      <c r="CK117" s="5">
        <v>0</v>
      </c>
      <c r="CL117" s="5">
        <f>(CD117+CE117/2+CF117/8+CG117/16+CH117/4+CJ117/32+CK117/16)*39</f>
        <v>0</v>
      </c>
      <c r="CM117" s="5">
        <v>0</v>
      </c>
      <c r="CN117" s="5">
        <v>0</v>
      </c>
      <c r="CO117" s="5">
        <v>0</v>
      </c>
      <c r="CP117" s="5">
        <v>0</v>
      </c>
      <c r="CQ117" s="5">
        <v>0</v>
      </c>
      <c r="CS117">
        <v>0</v>
      </c>
      <c r="CT117">
        <v>0</v>
      </c>
      <c r="CU117">
        <v>0</v>
      </c>
      <c r="CV117">
        <v>0</v>
      </c>
      <c r="CW117">
        <f>CS117+CT117/24+CU117/48+CV117/48</f>
        <v>0</v>
      </c>
      <c r="CX117">
        <v>0</v>
      </c>
      <c r="CZ117" t="s">
        <v>210</v>
      </c>
      <c r="DC117" t="s">
        <v>262</v>
      </c>
      <c r="DD117" t="s">
        <v>693</v>
      </c>
      <c r="DE117" t="s">
        <v>3232</v>
      </c>
      <c r="DF117" t="s">
        <v>3233</v>
      </c>
    </row>
    <row r="118" spans="1:114" x14ac:dyDescent="0.25">
      <c r="A118">
        <v>482</v>
      </c>
      <c r="C118" t="s">
        <v>217</v>
      </c>
      <c r="D118" t="s">
        <v>59</v>
      </c>
      <c r="E118" t="s">
        <v>549</v>
      </c>
      <c r="G118" t="s">
        <v>576</v>
      </c>
      <c r="H118" t="s">
        <v>577</v>
      </c>
      <c r="I118" t="s">
        <v>220</v>
      </c>
      <c r="J118">
        <v>1343</v>
      </c>
      <c r="K118" t="s">
        <v>817</v>
      </c>
      <c r="L118">
        <v>4</v>
      </c>
      <c r="M118" s="7" t="s">
        <v>338</v>
      </c>
      <c r="N118" t="s">
        <v>358</v>
      </c>
      <c r="P118" t="s">
        <v>225</v>
      </c>
      <c r="Q118" t="s">
        <v>225</v>
      </c>
      <c r="R118" t="s">
        <v>225</v>
      </c>
      <c r="S118" t="s">
        <v>205</v>
      </c>
      <c r="T118" t="s">
        <v>225</v>
      </c>
      <c r="U118" t="s">
        <v>523</v>
      </c>
      <c r="V118" t="s">
        <v>204</v>
      </c>
      <c r="W118" t="s">
        <v>205</v>
      </c>
      <c r="X118" t="s">
        <v>205</v>
      </c>
      <c r="Y118" t="s">
        <v>205</v>
      </c>
      <c r="Z118" t="s">
        <v>205</v>
      </c>
      <c r="AA118" t="s">
        <v>205</v>
      </c>
      <c r="AB118" t="s">
        <v>205</v>
      </c>
      <c r="AC118" t="s">
        <v>205</v>
      </c>
      <c r="AD118" t="s">
        <v>225</v>
      </c>
      <c r="AE118" t="s">
        <v>205</v>
      </c>
      <c r="AF118" t="s">
        <v>205</v>
      </c>
      <c r="AG118" t="s">
        <v>225</v>
      </c>
      <c r="AH118" t="s">
        <v>225</v>
      </c>
      <c r="AI118" t="s">
        <v>225</v>
      </c>
      <c r="AJ118" t="s">
        <v>225</v>
      </c>
      <c r="AK118" t="s">
        <v>225</v>
      </c>
      <c r="AL118" t="s">
        <v>225</v>
      </c>
      <c r="AM118" t="s">
        <v>225</v>
      </c>
      <c r="AN118" t="s">
        <v>225</v>
      </c>
      <c r="AO118" t="s">
        <v>225</v>
      </c>
      <c r="AP118" t="s">
        <v>225</v>
      </c>
      <c r="AQ118" t="s">
        <v>225</v>
      </c>
      <c r="AR118" t="s">
        <v>225</v>
      </c>
      <c r="AS118" t="s">
        <v>225</v>
      </c>
      <c r="AT118" t="s">
        <v>225</v>
      </c>
      <c r="AU118" t="s">
        <v>225</v>
      </c>
      <c r="AV118" t="s">
        <v>225</v>
      </c>
      <c r="AW118" t="s">
        <v>225</v>
      </c>
      <c r="AX118" t="s">
        <v>225</v>
      </c>
      <c r="AY118" t="s">
        <v>225</v>
      </c>
      <c r="AZ118" t="s">
        <v>225</v>
      </c>
      <c r="BA118" t="s">
        <v>225</v>
      </c>
      <c r="BB118" t="s">
        <v>225</v>
      </c>
      <c r="BC118" t="s">
        <v>225</v>
      </c>
      <c r="BD118" t="s">
        <v>225</v>
      </c>
      <c r="BE118" t="s">
        <v>225</v>
      </c>
      <c r="BF118" t="s">
        <v>225</v>
      </c>
      <c r="BG118" t="s">
        <v>225</v>
      </c>
      <c r="BH118" t="s">
        <v>225</v>
      </c>
      <c r="BI118" t="s">
        <v>225</v>
      </c>
      <c r="BJ118" t="s">
        <v>225</v>
      </c>
      <c r="BK118" t="s">
        <v>225</v>
      </c>
      <c r="BL118" t="s">
        <v>205</v>
      </c>
      <c r="BO118" t="s">
        <v>524</v>
      </c>
      <c r="BP118" t="s">
        <v>460</v>
      </c>
      <c r="BQ118" t="s">
        <v>3561</v>
      </c>
      <c r="BR118">
        <v>1</v>
      </c>
      <c r="BS118">
        <v>0</v>
      </c>
      <c r="BT118">
        <v>0</v>
      </c>
      <c r="BU118" s="5">
        <f>(BS118/8+BT118/4)*39</f>
        <v>0</v>
      </c>
      <c r="BV118">
        <v>0</v>
      </c>
      <c r="BW118" s="8">
        <v>0</v>
      </c>
      <c r="BX118" s="8">
        <f>10+1/6</f>
        <v>10.166666666666666</v>
      </c>
      <c r="BY118">
        <v>0</v>
      </c>
      <c r="BZ118">
        <v>0</v>
      </c>
      <c r="CA118">
        <v>0</v>
      </c>
      <c r="CB118">
        <v>0</v>
      </c>
      <c r="CC118" s="5">
        <f>(BV118+BW118/2+BX118/8+BY118/16+BZ118/4+CA118/32)*39</f>
        <v>49.5625</v>
      </c>
      <c r="CD118" s="8">
        <v>0</v>
      </c>
      <c r="CE118" s="8">
        <v>0</v>
      </c>
      <c r="CF118" s="8">
        <v>3.5</v>
      </c>
      <c r="CG118">
        <v>0</v>
      </c>
      <c r="CH118" s="8">
        <v>0</v>
      </c>
      <c r="CI118">
        <v>0</v>
      </c>
      <c r="CJ118">
        <v>0</v>
      </c>
      <c r="CK118" s="8">
        <v>0</v>
      </c>
      <c r="CL118" s="5">
        <f>(CD118+CE118/2+CF118/8+CG118/16+CH118/4+CJ118/32+CK118/16)*39</f>
        <v>17.0625</v>
      </c>
      <c r="CM118">
        <v>0</v>
      </c>
      <c r="CN118">
        <v>0</v>
      </c>
      <c r="CO118">
        <v>0</v>
      </c>
      <c r="CP118" s="8">
        <v>0</v>
      </c>
      <c r="CQ118" s="8">
        <v>0</v>
      </c>
      <c r="CR118" t="s">
        <v>516</v>
      </c>
      <c r="CS118">
        <f>4/12+5</f>
        <v>5.333333333333333</v>
      </c>
      <c r="CT118">
        <v>0</v>
      </c>
      <c r="CU118">
        <v>0</v>
      </c>
      <c r="CV118" s="8">
        <v>0</v>
      </c>
      <c r="CW118">
        <f>CS118+CT118/24+CU118/48+CV118/48</f>
        <v>5.333333333333333</v>
      </c>
      <c r="CX118">
        <v>0</v>
      </c>
      <c r="CZ118" t="s">
        <v>210</v>
      </c>
      <c r="DB118" t="s">
        <v>405</v>
      </c>
      <c r="DC118" t="s">
        <v>262</v>
      </c>
      <c r="DD118" t="s">
        <v>693</v>
      </c>
      <c r="DE118" t="s">
        <v>525</v>
      </c>
      <c r="DF118" t="s">
        <v>526</v>
      </c>
    </row>
    <row r="119" spans="1:114" x14ac:dyDescent="0.25">
      <c r="A119">
        <v>491</v>
      </c>
      <c r="C119" t="s">
        <v>91</v>
      </c>
      <c r="D119" t="s">
        <v>59</v>
      </c>
      <c r="E119" t="s">
        <v>58</v>
      </c>
      <c r="I119" t="s">
        <v>219</v>
      </c>
      <c r="J119">
        <v>1343</v>
      </c>
      <c r="K119" t="s">
        <v>249</v>
      </c>
      <c r="L119">
        <v>9</v>
      </c>
      <c r="M119" s="8" t="s">
        <v>338</v>
      </c>
      <c r="N119" t="s">
        <v>236</v>
      </c>
      <c r="O119" t="s">
        <v>201</v>
      </c>
      <c r="P119" t="s">
        <v>225</v>
      </c>
      <c r="Q119" t="s">
        <v>205</v>
      </c>
      <c r="R119" t="s">
        <v>205</v>
      </c>
      <c r="S119" t="s">
        <v>205</v>
      </c>
      <c r="T119" t="s">
        <v>225</v>
      </c>
      <c r="U119" t="s">
        <v>277</v>
      </c>
      <c r="V119" t="s">
        <v>204</v>
      </c>
      <c r="W119">
        <v>1</v>
      </c>
      <c r="Y119" t="s">
        <v>205</v>
      </c>
      <c r="Z119" t="s">
        <v>225</v>
      </c>
      <c r="AA119" t="s">
        <v>205</v>
      </c>
      <c r="AB119" t="s">
        <v>225</v>
      </c>
      <c r="AC119" t="s">
        <v>225</v>
      </c>
      <c r="AD119" t="s">
        <v>205</v>
      </c>
      <c r="AE119" t="s">
        <v>225</v>
      </c>
      <c r="AF119" t="s">
        <v>225</v>
      </c>
      <c r="AG119" t="s">
        <v>225</v>
      </c>
      <c r="AH119" t="s">
        <v>225</v>
      </c>
      <c r="AI119" t="s">
        <v>225</v>
      </c>
      <c r="AJ119" t="s">
        <v>225</v>
      </c>
      <c r="AK119" t="s">
        <v>225</v>
      </c>
      <c r="AL119" t="s">
        <v>225</v>
      </c>
      <c r="AM119" t="s">
        <v>225</v>
      </c>
      <c r="AN119" t="s">
        <v>225</v>
      </c>
      <c r="AO119" t="s">
        <v>225</v>
      </c>
      <c r="AP119" t="s">
        <v>225</v>
      </c>
      <c r="AQ119" t="s">
        <v>225</v>
      </c>
      <c r="AR119" t="s">
        <v>225</v>
      </c>
      <c r="AS119" t="s">
        <v>225</v>
      </c>
      <c r="AT119" t="s">
        <v>225</v>
      </c>
      <c r="AU119" t="s">
        <v>225</v>
      </c>
      <c r="AV119" t="s">
        <v>225</v>
      </c>
      <c r="AW119" t="s">
        <v>225</v>
      </c>
      <c r="AX119" t="s">
        <v>225</v>
      </c>
      <c r="AY119" t="s">
        <v>225</v>
      </c>
      <c r="AZ119" t="s">
        <v>225</v>
      </c>
      <c r="BA119" t="s">
        <v>225</v>
      </c>
      <c r="BB119" t="s">
        <v>225</v>
      </c>
      <c r="BC119" t="s">
        <v>225</v>
      </c>
      <c r="BD119" t="s">
        <v>225</v>
      </c>
      <c r="BE119" t="s">
        <v>225</v>
      </c>
      <c r="BF119" t="s">
        <v>225</v>
      </c>
      <c r="BG119" t="s">
        <v>225</v>
      </c>
      <c r="BH119" t="s">
        <v>225</v>
      </c>
      <c r="BI119" t="s">
        <v>225</v>
      </c>
      <c r="BJ119" t="s">
        <v>225</v>
      </c>
      <c r="BK119" t="s">
        <v>225</v>
      </c>
      <c r="BL119" t="s">
        <v>205</v>
      </c>
      <c r="BN119" t="s">
        <v>389</v>
      </c>
      <c r="BO119" t="s">
        <v>524</v>
      </c>
      <c r="BQ119" t="s">
        <v>539</v>
      </c>
      <c r="BR119">
        <v>1</v>
      </c>
      <c r="BS119">
        <v>0</v>
      </c>
      <c r="BT119">
        <v>0</v>
      </c>
      <c r="BU119" s="5">
        <f>(BS119/8+BT119/4)*39</f>
        <v>0</v>
      </c>
      <c r="BV119">
        <v>0</v>
      </c>
      <c r="BW119" s="8">
        <v>0</v>
      </c>
      <c r="BX119" s="5">
        <f>10+1/2+1/6</f>
        <v>10.666666666666666</v>
      </c>
      <c r="BY119">
        <v>0</v>
      </c>
      <c r="BZ119">
        <v>0</v>
      </c>
      <c r="CA119">
        <v>0</v>
      </c>
      <c r="CB119">
        <v>0</v>
      </c>
      <c r="CC119" s="5">
        <f>(BV119+BW119/2+BX119/8+BY119/16+BZ119/4+CA119/32)*39</f>
        <v>52</v>
      </c>
      <c r="CD119" s="8">
        <v>0</v>
      </c>
      <c r="CE119" s="8">
        <v>0</v>
      </c>
      <c r="CF119">
        <f>1+1/2</f>
        <v>1.5</v>
      </c>
      <c r="CG119">
        <v>0</v>
      </c>
      <c r="CH119" s="8">
        <v>0</v>
      </c>
      <c r="CI119">
        <v>0</v>
      </c>
      <c r="CJ119">
        <v>0</v>
      </c>
      <c r="CK119" s="8">
        <v>0</v>
      </c>
      <c r="CL119" s="5">
        <f>(CD119+CE119/2+CF119/8+CG119/16+CH119/4+CJ119/32+CK119/16)*39</f>
        <v>7.3125</v>
      </c>
      <c r="CM119">
        <v>0</v>
      </c>
      <c r="CN119">
        <v>0</v>
      </c>
      <c r="CO119">
        <v>0</v>
      </c>
      <c r="CP119" s="8">
        <v>0</v>
      </c>
      <c r="CQ119" s="8">
        <v>0</v>
      </c>
      <c r="CR119" t="s">
        <v>536</v>
      </c>
      <c r="CS119">
        <f>5+4/12+2/12</f>
        <v>5.5</v>
      </c>
      <c r="CT119">
        <v>0</v>
      </c>
      <c r="CU119">
        <v>0</v>
      </c>
      <c r="CV119" s="8">
        <v>0</v>
      </c>
      <c r="CW119">
        <f>CS119+CT119/24+CU119/48+CV119/48</f>
        <v>5.5</v>
      </c>
      <c r="CX119">
        <v>0</v>
      </c>
      <c r="CY119" t="s">
        <v>248</v>
      </c>
      <c r="CZ119" t="s">
        <v>210</v>
      </c>
      <c r="DB119" t="s">
        <v>405</v>
      </c>
      <c r="DC119" t="s">
        <v>539</v>
      </c>
      <c r="DD119" t="s">
        <v>693</v>
      </c>
      <c r="DE119" t="s">
        <v>542</v>
      </c>
      <c r="DF119" t="s">
        <v>543</v>
      </c>
      <c r="DJ119" t="s">
        <v>483</v>
      </c>
    </row>
    <row r="120" spans="1:114" x14ac:dyDescent="0.25">
      <c r="A120">
        <v>501</v>
      </c>
      <c r="C120" t="s">
        <v>13</v>
      </c>
      <c r="D120" t="s">
        <v>59</v>
      </c>
      <c r="E120" t="s">
        <v>58</v>
      </c>
      <c r="G120" t="s">
        <v>578</v>
      </c>
      <c r="H120" t="s">
        <v>579</v>
      </c>
      <c r="I120" t="s">
        <v>219</v>
      </c>
      <c r="J120">
        <v>1343</v>
      </c>
      <c r="K120" t="s">
        <v>249</v>
      </c>
      <c r="L120">
        <v>9</v>
      </c>
      <c r="M120" s="7" t="s">
        <v>338</v>
      </c>
      <c r="N120" t="s">
        <v>236</v>
      </c>
      <c r="O120" t="s">
        <v>201</v>
      </c>
      <c r="P120" t="s">
        <v>225</v>
      </c>
      <c r="Q120" t="s">
        <v>205</v>
      </c>
      <c r="R120" t="s">
        <v>205</v>
      </c>
      <c r="S120" t="s">
        <v>205</v>
      </c>
      <c r="T120" t="s">
        <v>225</v>
      </c>
      <c r="U120" t="s">
        <v>277</v>
      </c>
      <c r="V120" t="s">
        <v>204</v>
      </c>
      <c r="W120" t="s">
        <v>205</v>
      </c>
      <c r="X120" t="s">
        <v>205</v>
      </c>
      <c r="Y120" t="s">
        <v>205</v>
      </c>
      <c r="Z120" t="s">
        <v>205</v>
      </c>
      <c r="AA120" t="s">
        <v>205</v>
      </c>
      <c r="AB120" t="s">
        <v>225</v>
      </c>
      <c r="AC120" t="s">
        <v>225</v>
      </c>
      <c r="AD120" t="s">
        <v>205</v>
      </c>
      <c r="AE120" t="s">
        <v>225</v>
      </c>
      <c r="AF120" t="s">
        <v>225</v>
      </c>
      <c r="AG120" t="s">
        <v>225</v>
      </c>
      <c r="AH120" t="s">
        <v>225</v>
      </c>
      <c r="AI120" t="s">
        <v>225</v>
      </c>
      <c r="AJ120" t="s">
        <v>225</v>
      </c>
      <c r="AK120" t="s">
        <v>225</v>
      </c>
      <c r="AL120" t="s">
        <v>225</v>
      </c>
      <c r="AM120" t="s">
        <v>225</v>
      </c>
      <c r="AN120" t="s">
        <v>225</v>
      </c>
      <c r="AO120" t="s">
        <v>225</v>
      </c>
      <c r="AP120" t="s">
        <v>205</v>
      </c>
      <c r="AQ120" t="s">
        <v>225</v>
      </c>
      <c r="AR120" t="s">
        <v>225</v>
      </c>
      <c r="AS120" t="s">
        <v>225</v>
      </c>
      <c r="AT120" t="s">
        <v>225</v>
      </c>
      <c r="AU120" t="s">
        <v>225</v>
      </c>
      <c r="AV120" t="s">
        <v>225</v>
      </c>
      <c r="AW120" t="s">
        <v>225</v>
      </c>
      <c r="AX120" t="s">
        <v>225</v>
      </c>
      <c r="AY120" t="s">
        <v>225</v>
      </c>
      <c r="AZ120" t="s">
        <v>225</v>
      </c>
      <c r="BA120" t="s">
        <v>225</v>
      </c>
      <c r="BB120" t="s">
        <v>225</v>
      </c>
      <c r="BC120" t="s">
        <v>225</v>
      </c>
      <c r="BD120" t="s">
        <v>225</v>
      </c>
      <c r="BE120" t="s">
        <v>225</v>
      </c>
      <c r="BF120" t="s">
        <v>225</v>
      </c>
      <c r="BG120" t="s">
        <v>225</v>
      </c>
      <c r="BH120" t="s">
        <v>225</v>
      </c>
      <c r="BI120" t="s">
        <v>225</v>
      </c>
      <c r="BJ120" t="s">
        <v>225</v>
      </c>
      <c r="BK120" t="s">
        <v>225</v>
      </c>
      <c r="BL120" t="s">
        <v>205</v>
      </c>
      <c r="BO120" t="s">
        <v>514</v>
      </c>
      <c r="BP120" t="s">
        <v>467</v>
      </c>
      <c r="BQ120" t="s">
        <v>539</v>
      </c>
      <c r="BR120">
        <v>1</v>
      </c>
      <c r="BS120">
        <v>0</v>
      </c>
      <c r="BT120">
        <v>0</v>
      </c>
      <c r="BU120" s="5">
        <f>(BS120/8+BT120/4)*39</f>
        <v>0</v>
      </c>
      <c r="BV120">
        <v>0</v>
      </c>
      <c r="BW120" s="8">
        <v>0</v>
      </c>
      <c r="BX120" s="5">
        <f>10+1/2+1/6+1/2</f>
        <v>11.166666666666666</v>
      </c>
      <c r="BY120">
        <v>0</v>
      </c>
      <c r="BZ120">
        <v>0</v>
      </c>
      <c r="CA120">
        <v>0</v>
      </c>
      <c r="CB120">
        <v>0</v>
      </c>
      <c r="CC120" s="5">
        <f>(BV120+BW120/2+BX120/8+BY120/16+BZ120/4+CA120/32)*39</f>
        <v>54.4375</v>
      </c>
      <c r="CD120" s="8">
        <v>0</v>
      </c>
      <c r="CE120" s="8">
        <v>0</v>
      </c>
      <c r="CF120">
        <f>3+1/2+1/2</f>
        <v>4</v>
      </c>
      <c r="CG120">
        <v>0</v>
      </c>
      <c r="CH120" s="8">
        <v>0</v>
      </c>
      <c r="CI120">
        <v>0</v>
      </c>
      <c r="CJ120">
        <v>0</v>
      </c>
      <c r="CK120" s="8">
        <v>0</v>
      </c>
      <c r="CL120" s="5">
        <f>(CD120+CE120/2+CF120/8+CG120/16+CH120/4+CJ120/32+CK120/16)*39</f>
        <v>19.5</v>
      </c>
      <c r="CM120">
        <v>0</v>
      </c>
      <c r="CN120">
        <v>0</v>
      </c>
      <c r="CO120">
        <v>0</v>
      </c>
      <c r="CP120" s="8">
        <v>0</v>
      </c>
      <c r="CQ120" s="8">
        <v>0</v>
      </c>
      <c r="CR120" t="s">
        <v>547</v>
      </c>
      <c r="CS120">
        <f>5+4/12+6/12</f>
        <v>5.833333333333333</v>
      </c>
      <c r="CT120">
        <v>0</v>
      </c>
      <c r="CU120">
        <v>0</v>
      </c>
      <c r="CV120" s="8">
        <v>0</v>
      </c>
      <c r="CW120">
        <f>CS120+CT120/24+CU120/48+CV120/48</f>
        <v>5.833333333333333</v>
      </c>
      <c r="CX120">
        <v>0</v>
      </c>
      <c r="CY120" t="s">
        <v>541</v>
      </c>
      <c r="CZ120" t="s">
        <v>210</v>
      </c>
      <c r="DB120" t="s">
        <v>405</v>
      </c>
      <c r="DC120" t="s">
        <v>539</v>
      </c>
      <c r="DD120" t="s">
        <v>693</v>
      </c>
      <c r="DE120" t="s">
        <v>542</v>
      </c>
      <c r="DF120" t="s">
        <v>543</v>
      </c>
      <c r="DJ120" t="s">
        <v>483</v>
      </c>
    </row>
    <row r="121" spans="1:114" x14ac:dyDescent="0.25">
      <c r="A121">
        <v>741</v>
      </c>
      <c r="B121" t="s">
        <v>788</v>
      </c>
      <c r="C121" t="s">
        <v>19</v>
      </c>
      <c r="D121" t="s">
        <v>126</v>
      </c>
      <c r="E121" t="s">
        <v>776</v>
      </c>
      <c r="G121" t="s">
        <v>802</v>
      </c>
      <c r="I121" t="s">
        <v>219</v>
      </c>
      <c r="J121">
        <v>1343</v>
      </c>
      <c r="K121" t="s">
        <v>383</v>
      </c>
      <c r="L121">
        <v>13</v>
      </c>
      <c r="M121" s="7" t="s">
        <v>338</v>
      </c>
      <c r="N121" t="s">
        <v>986</v>
      </c>
      <c r="V121" t="s">
        <v>204</v>
      </c>
      <c r="W121" t="s">
        <v>225</v>
      </c>
      <c r="X121" t="s">
        <v>225</v>
      </c>
      <c r="Y121">
        <v>3</v>
      </c>
      <c r="Z121">
        <v>1</v>
      </c>
      <c r="AA121" t="s">
        <v>225</v>
      </c>
      <c r="AB121" t="s">
        <v>225</v>
      </c>
      <c r="AC121">
        <v>1</v>
      </c>
      <c r="AD121" t="s">
        <v>225</v>
      </c>
      <c r="AE121" t="s">
        <v>225</v>
      </c>
      <c r="AF121" t="s">
        <v>225</v>
      </c>
      <c r="AG121" t="s">
        <v>225</v>
      </c>
      <c r="AH121" t="s">
        <v>225</v>
      </c>
      <c r="AI121" t="s">
        <v>225</v>
      </c>
      <c r="AJ121" t="s">
        <v>225</v>
      </c>
      <c r="AK121" t="s">
        <v>225</v>
      </c>
      <c r="AL121" t="s">
        <v>225</v>
      </c>
      <c r="AM121" t="s">
        <v>225</v>
      </c>
      <c r="AN121" t="s">
        <v>225</v>
      </c>
      <c r="AO121" t="s">
        <v>225</v>
      </c>
      <c r="AP121" t="s">
        <v>225</v>
      </c>
      <c r="AQ121" t="s">
        <v>225</v>
      </c>
      <c r="AR121" t="s">
        <v>225</v>
      </c>
      <c r="AS121" t="s">
        <v>225</v>
      </c>
      <c r="AT121" t="s">
        <v>225</v>
      </c>
      <c r="AU121" t="s">
        <v>225</v>
      </c>
      <c r="AV121" t="s">
        <v>225</v>
      </c>
      <c r="AW121" t="s">
        <v>225</v>
      </c>
      <c r="AX121" t="s">
        <v>225</v>
      </c>
      <c r="AY121" t="s">
        <v>225</v>
      </c>
      <c r="AZ121" t="s">
        <v>225</v>
      </c>
      <c r="BA121" t="s">
        <v>225</v>
      </c>
      <c r="BB121" t="s">
        <v>225</v>
      </c>
      <c r="BC121" t="s">
        <v>225</v>
      </c>
      <c r="BD121" t="s">
        <v>225</v>
      </c>
      <c r="BE121" t="s">
        <v>225</v>
      </c>
      <c r="BF121" t="s">
        <v>225</v>
      </c>
      <c r="BG121" t="s">
        <v>225</v>
      </c>
      <c r="BH121" t="s">
        <v>225</v>
      </c>
      <c r="BI121" t="s">
        <v>225</v>
      </c>
      <c r="BJ121" t="s">
        <v>225</v>
      </c>
      <c r="BK121" t="s">
        <v>225</v>
      </c>
      <c r="BL121" t="s">
        <v>225</v>
      </c>
      <c r="BQ121" t="s">
        <v>1455</v>
      </c>
      <c r="BR121">
        <f>0.5</f>
        <v>0.5</v>
      </c>
      <c r="BS121">
        <v>0</v>
      </c>
      <c r="BT121">
        <v>0</v>
      </c>
      <c r="BU121" s="5">
        <f>(BS121/8+BT121/4)*39</f>
        <v>0</v>
      </c>
      <c r="BV121">
        <v>0</v>
      </c>
      <c r="BW121">
        <v>0</v>
      </c>
      <c r="BX121" s="5">
        <v>3</v>
      </c>
      <c r="BY121">
        <v>0</v>
      </c>
      <c r="BZ121">
        <v>0</v>
      </c>
      <c r="CA121">
        <v>0</v>
      </c>
      <c r="CB121">
        <v>0</v>
      </c>
      <c r="CC121" s="5">
        <f>(BV121+BW121/2+BX121/8+BY121/16+BZ121/4+CA121/32)*39</f>
        <v>14.625</v>
      </c>
      <c r="CD121">
        <v>0</v>
      </c>
      <c r="CE121">
        <v>0</v>
      </c>
      <c r="CF121">
        <v>0</v>
      </c>
      <c r="CG121">
        <v>0</v>
      </c>
      <c r="CH121">
        <v>0</v>
      </c>
      <c r="CI121">
        <v>0</v>
      </c>
      <c r="CJ121">
        <v>0</v>
      </c>
      <c r="CK121">
        <v>0</v>
      </c>
      <c r="CL121" s="5">
        <f>(CD121+CE121/2+CF121/8+CG121/16+CH121/4+CJ121/32+CK121/16)*39</f>
        <v>0</v>
      </c>
      <c r="CM121">
        <v>0</v>
      </c>
      <c r="CN121">
        <v>0</v>
      </c>
      <c r="CO121">
        <v>0</v>
      </c>
      <c r="CP121">
        <v>0</v>
      </c>
      <c r="CQ121">
        <v>0</v>
      </c>
      <c r="CR121" t="s">
        <v>306</v>
      </c>
      <c r="CS121">
        <f>22/12</f>
        <v>1.8333333333333333</v>
      </c>
      <c r="CT121">
        <v>0</v>
      </c>
      <c r="CU121">
        <v>0</v>
      </c>
      <c r="CV121">
        <v>0</v>
      </c>
      <c r="CW121">
        <f>CS121+CT121/24+CU121/48+CV121/48</f>
        <v>1.8333333333333333</v>
      </c>
      <c r="CX121">
        <v>0</v>
      </c>
      <c r="CZ121" t="s">
        <v>210</v>
      </c>
      <c r="DC121" t="s">
        <v>262</v>
      </c>
      <c r="DD121" t="s">
        <v>693</v>
      </c>
      <c r="DE121" t="s">
        <v>263</v>
      </c>
      <c r="DF121" t="s">
        <v>878</v>
      </c>
      <c r="DG121" t="s">
        <v>879</v>
      </c>
    </row>
    <row r="122" spans="1:114" x14ac:dyDescent="0.25">
      <c r="A122">
        <v>742</v>
      </c>
      <c r="B122" t="s">
        <v>788</v>
      </c>
      <c r="C122" t="s">
        <v>19</v>
      </c>
      <c r="D122" t="s">
        <v>126</v>
      </c>
      <c r="E122" t="s">
        <v>776</v>
      </c>
      <c r="G122" t="s">
        <v>802</v>
      </c>
      <c r="I122" t="s">
        <v>219</v>
      </c>
      <c r="J122">
        <v>1344</v>
      </c>
      <c r="K122" t="s">
        <v>817</v>
      </c>
      <c r="L122">
        <v>23</v>
      </c>
      <c r="M122" s="7" t="s">
        <v>338</v>
      </c>
      <c r="N122" t="s">
        <v>986</v>
      </c>
      <c r="W122" t="s">
        <v>225</v>
      </c>
      <c r="X122" t="s">
        <v>225</v>
      </c>
      <c r="Y122">
        <v>1</v>
      </c>
      <c r="Z122" t="s">
        <v>225</v>
      </c>
      <c r="AA122" t="s">
        <v>225</v>
      </c>
      <c r="AB122" t="s">
        <v>225</v>
      </c>
      <c r="AC122" t="s">
        <v>225</v>
      </c>
      <c r="AD122" t="s">
        <v>225</v>
      </c>
      <c r="AE122" t="s">
        <v>225</v>
      </c>
      <c r="AF122" t="s">
        <v>225</v>
      </c>
      <c r="AG122" t="s">
        <v>225</v>
      </c>
      <c r="AH122" t="s">
        <v>225</v>
      </c>
      <c r="AI122" t="s">
        <v>225</v>
      </c>
      <c r="AJ122" t="s">
        <v>225</v>
      </c>
      <c r="AK122" t="s">
        <v>225</v>
      </c>
      <c r="AL122" t="s">
        <v>225</v>
      </c>
      <c r="AM122" t="s">
        <v>225</v>
      </c>
      <c r="AN122" t="s">
        <v>225</v>
      </c>
      <c r="AO122" t="s">
        <v>225</v>
      </c>
      <c r="AP122" t="s">
        <v>225</v>
      </c>
      <c r="AQ122" t="s">
        <v>225</v>
      </c>
      <c r="AR122" t="s">
        <v>225</v>
      </c>
      <c r="AS122" t="s">
        <v>225</v>
      </c>
      <c r="AT122" t="s">
        <v>225</v>
      </c>
      <c r="AU122" t="s">
        <v>225</v>
      </c>
      <c r="AV122" t="s">
        <v>225</v>
      </c>
      <c r="AW122" t="s">
        <v>225</v>
      </c>
      <c r="AX122" t="s">
        <v>225</v>
      </c>
      <c r="AY122" t="s">
        <v>225</v>
      </c>
      <c r="AZ122" t="s">
        <v>225</v>
      </c>
      <c r="BA122" t="s">
        <v>225</v>
      </c>
      <c r="BB122" t="s">
        <v>225</v>
      </c>
      <c r="BC122" t="s">
        <v>225</v>
      </c>
      <c r="BD122" t="s">
        <v>225</v>
      </c>
      <c r="BE122" t="s">
        <v>225</v>
      </c>
      <c r="BF122" t="s">
        <v>225</v>
      </c>
      <c r="BG122" t="s">
        <v>225</v>
      </c>
      <c r="BH122" t="s">
        <v>225</v>
      </c>
      <c r="BI122" t="s">
        <v>225</v>
      </c>
      <c r="BJ122" t="s">
        <v>225</v>
      </c>
      <c r="BK122" t="s">
        <v>225</v>
      </c>
      <c r="BL122" t="s">
        <v>225</v>
      </c>
      <c r="BN122" t="s">
        <v>845</v>
      </c>
      <c r="BR122">
        <v>0</v>
      </c>
      <c r="BS122">
        <v>0</v>
      </c>
      <c r="BT122">
        <v>0</v>
      </c>
      <c r="BU122" s="5">
        <f>(BS122/8+BT122/4)*39</f>
        <v>0</v>
      </c>
      <c r="BV122">
        <v>0</v>
      </c>
      <c r="BW122">
        <v>0</v>
      </c>
      <c r="BX122">
        <v>0</v>
      </c>
      <c r="BY122">
        <v>0</v>
      </c>
      <c r="BZ122">
        <v>0</v>
      </c>
      <c r="CA122">
        <v>0</v>
      </c>
      <c r="CB122">
        <v>0</v>
      </c>
      <c r="CC122" s="5">
        <f>(BV122+BW122/2+BX122/8+BY122/16+BZ122/4+CA122/32)*39</f>
        <v>0</v>
      </c>
      <c r="CD122">
        <v>0</v>
      </c>
      <c r="CE122">
        <v>0</v>
      </c>
      <c r="CF122">
        <v>0</v>
      </c>
      <c r="CG122">
        <v>0</v>
      </c>
      <c r="CH122">
        <v>0</v>
      </c>
      <c r="CI122">
        <v>0</v>
      </c>
      <c r="CJ122">
        <v>0</v>
      </c>
      <c r="CK122">
        <v>0</v>
      </c>
      <c r="CL122" s="5">
        <f>(CD122+CE122/2+CF122/8+CG122/16+CH122/4+CJ122/32+CK122/16)*39</f>
        <v>0</v>
      </c>
      <c r="CM122">
        <v>0</v>
      </c>
      <c r="CN122">
        <v>0</v>
      </c>
      <c r="CO122">
        <v>0</v>
      </c>
      <c r="CP122">
        <v>0</v>
      </c>
      <c r="CQ122">
        <v>0</v>
      </c>
      <c r="CR122" t="s">
        <v>398</v>
      </c>
      <c r="CS122">
        <f>2/12</f>
        <v>0.16666666666666666</v>
      </c>
      <c r="CT122">
        <v>0</v>
      </c>
      <c r="CU122">
        <v>0</v>
      </c>
      <c r="CV122">
        <v>0</v>
      </c>
      <c r="CW122">
        <f>CS122+CT122/24+CU122/48+CV122/48</f>
        <v>0.16666666666666666</v>
      </c>
      <c r="CX122">
        <v>0</v>
      </c>
      <c r="CZ122" t="s">
        <v>210</v>
      </c>
      <c r="DC122" t="s">
        <v>262</v>
      </c>
      <c r="DD122" t="s">
        <v>693</v>
      </c>
      <c r="DE122" t="s">
        <v>839</v>
      </c>
      <c r="DF122" t="s">
        <v>840</v>
      </c>
    </row>
    <row r="123" spans="1:114" x14ac:dyDescent="0.25">
      <c r="A123">
        <v>743</v>
      </c>
      <c r="B123" t="s">
        <v>788</v>
      </c>
      <c r="C123" t="s">
        <v>127</v>
      </c>
      <c r="D123" t="s">
        <v>126</v>
      </c>
      <c r="E123" t="s">
        <v>776</v>
      </c>
      <c r="H123" t="s">
        <v>841</v>
      </c>
      <c r="I123" t="s">
        <v>219</v>
      </c>
      <c r="J123">
        <v>1344</v>
      </c>
      <c r="K123" t="s">
        <v>817</v>
      </c>
      <c r="L123">
        <v>23</v>
      </c>
      <c r="M123" s="7" t="s">
        <v>338</v>
      </c>
      <c r="N123" t="s">
        <v>3415</v>
      </c>
      <c r="W123">
        <v>1</v>
      </c>
      <c r="X123" t="s">
        <v>225</v>
      </c>
      <c r="Y123" t="s">
        <v>225</v>
      </c>
      <c r="Z123" t="s">
        <v>225</v>
      </c>
      <c r="AA123" t="s">
        <v>225</v>
      </c>
      <c r="AB123" t="s">
        <v>225</v>
      </c>
      <c r="AC123" t="s">
        <v>225</v>
      </c>
      <c r="AD123" t="s">
        <v>225</v>
      </c>
      <c r="AE123" t="s">
        <v>225</v>
      </c>
      <c r="AF123" t="s">
        <v>225</v>
      </c>
      <c r="AG123" t="s">
        <v>225</v>
      </c>
      <c r="AH123" t="s">
        <v>225</v>
      </c>
      <c r="AI123" t="s">
        <v>225</v>
      </c>
      <c r="AJ123" t="s">
        <v>225</v>
      </c>
      <c r="AK123" t="s">
        <v>225</v>
      </c>
      <c r="AL123" t="s">
        <v>225</v>
      </c>
      <c r="AM123" t="s">
        <v>225</v>
      </c>
      <c r="AN123" t="s">
        <v>225</v>
      </c>
      <c r="AO123" t="s">
        <v>225</v>
      </c>
      <c r="AP123" t="s">
        <v>225</v>
      </c>
      <c r="AQ123" t="s">
        <v>225</v>
      </c>
      <c r="AR123" t="s">
        <v>225</v>
      </c>
      <c r="AS123" t="s">
        <v>225</v>
      </c>
      <c r="AT123" t="s">
        <v>225</v>
      </c>
      <c r="AU123" t="s">
        <v>225</v>
      </c>
      <c r="AV123" t="s">
        <v>225</v>
      </c>
      <c r="AW123" t="s">
        <v>225</v>
      </c>
      <c r="AX123" t="s">
        <v>225</v>
      </c>
      <c r="AY123" t="s">
        <v>225</v>
      </c>
      <c r="AZ123" t="s">
        <v>225</v>
      </c>
      <c r="BA123" t="s">
        <v>225</v>
      </c>
      <c r="BB123" t="s">
        <v>225</v>
      </c>
      <c r="BC123" t="s">
        <v>225</v>
      </c>
      <c r="BD123" t="s">
        <v>225</v>
      </c>
      <c r="BE123" t="s">
        <v>225</v>
      </c>
      <c r="BF123" t="s">
        <v>225</v>
      </c>
      <c r="BG123" t="s">
        <v>225</v>
      </c>
      <c r="BH123" t="s">
        <v>225</v>
      </c>
      <c r="BI123" t="s">
        <v>225</v>
      </c>
      <c r="BJ123" t="s">
        <v>225</v>
      </c>
      <c r="BK123" t="s">
        <v>225</v>
      </c>
      <c r="BL123" t="s">
        <v>225</v>
      </c>
      <c r="BM123" t="s">
        <v>847</v>
      </c>
      <c r="BP123" t="s">
        <v>460</v>
      </c>
      <c r="BR123">
        <v>0</v>
      </c>
      <c r="BU123" s="5">
        <f>(BS123/8+BT123/4)*39</f>
        <v>0</v>
      </c>
      <c r="CA123">
        <v>0</v>
      </c>
      <c r="CC123" s="5">
        <f>(BV123+BW123/2+BX123/8+BY123/16+BZ123/4+CA123/32)*39</f>
        <v>0</v>
      </c>
      <c r="CL123" s="5">
        <f>(CD123+CE123/2+CF123/8+CG123/16+CH123/4+CJ123/32+CK123/16)*39</f>
        <v>0</v>
      </c>
      <c r="CR123" t="s">
        <v>848</v>
      </c>
      <c r="CW123">
        <f>CS123+CT123/24+CU123/48+CV123/48</f>
        <v>0</v>
      </c>
      <c r="DC123" t="s">
        <v>262</v>
      </c>
      <c r="DD123" t="s">
        <v>693</v>
      </c>
      <c r="DE123" t="s">
        <v>839</v>
      </c>
      <c r="DF123" t="s">
        <v>846</v>
      </c>
    </row>
    <row r="124" spans="1:114" x14ac:dyDescent="0.25">
      <c r="A124">
        <v>1461</v>
      </c>
      <c r="C124" t="s">
        <v>2348</v>
      </c>
      <c r="D124" t="s">
        <v>2349</v>
      </c>
      <c r="E124" t="s">
        <v>2070</v>
      </c>
      <c r="G124" t="s">
        <v>1811</v>
      </c>
      <c r="H124" t="s">
        <v>2356</v>
      </c>
      <c r="I124" t="s">
        <v>3219</v>
      </c>
      <c r="J124" s="16">
        <v>1342</v>
      </c>
      <c r="K124" s="16" t="s">
        <v>817</v>
      </c>
      <c r="L124" t="s">
        <v>15</v>
      </c>
      <c r="M124" s="7" t="s">
        <v>338</v>
      </c>
      <c r="N124" t="s">
        <v>236</v>
      </c>
      <c r="P124" t="s">
        <v>225</v>
      </c>
      <c r="Q124" t="s">
        <v>205</v>
      </c>
      <c r="R124" t="s">
        <v>205</v>
      </c>
      <c r="S124" t="s">
        <v>205</v>
      </c>
      <c r="T124" t="s">
        <v>225</v>
      </c>
      <c r="W124" t="s">
        <v>205</v>
      </c>
      <c r="X124" t="s">
        <v>205</v>
      </c>
      <c r="Y124" t="s">
        <v>205</v>
      </c>
      <c r="Z124" t="s">
        <v>225</v>
      </c>
      <c r="AA124" t="s">
        <v>205</v>
      </c>
      <c r="AB124" t="s">
        <v>205</v>
      </c>
      <c r="AC124" t="s">
        <v>205</v>
      </c>
      <c r="AD124" t="s">
        <v>225</v>
      </c>
      <c r="AE124" t="s">
        <v>225</v>
      </c>
      <c r="AF124" t="s">
        <v>225</v>
      </c>
      <c r="AG124" t="s">
        <v>225</v>
      </c>
      <c r="AH124" t="s">
        <v>205</v>
      </c>
      <c r="AI124" t="s">
        <v>225</v>
      </c>
      <c r="AJ124" t="s">
        <v>225</v>
      </c>
      <c r="AK124" t="s">
        <v>225</v>
      </c>
      <c r="AL124" t="s">
        <v>205</v>
      </c>
      <c r="AM124">
        <v>1</v>
      </c>
      <c r="AN124" t="s">
        <v>225</v>
      </c>
      <c r="AO124" t="s">
        <v>225</v>
      </c>
      <c r="AP124">
        <v>1</v>
      </c>
      <c r="AQ124" t="s">
        <v>225</v>
      </c>
      <c r="AR124" t="s">
        <v>225</v>
      </c>
      <c r="AS124" t="s">
        <v>225</v>
      </c>
      <c r="AT124">
        <v>1</v>
      </c>
      <c r="AU124" t="s">
        <v>225</v>
      </c>
      <c r="AV124" t="s">
        <v>225</v>
      </c>
      <c r="AW124" t="s">
        <v>225</v>
      </c>
      <c r="AX124" t="s">
        <v>225</v>
      </c>
      <c r="AY124" t="s">
        <v>225</v>
      </c>
      <c r="AZ124" t="s">
        <v>225</v>
      </c>
      <c r="BA124" t="s">
        <v>225</v>
      </c>
      <c r="BB124" t="s">
        <v>225</v>
      </c>
      <c r="BC124" t="s">
        <v>225</v>
      </c>
      <c r="BD124" t="s">
        <v>225</v>
      </c>
      <c r="BE124" t="s">
        <v>225</v>
      </c>
      <c r="BF124" t="s">
        <v>225</v>
      </c>
      <c r="BG124" t="s">
        <v>225</v>
      </c>
      <c r="BH124" t="s">
        <v>225</v>
      </c>
      <c r="BI124" t="s">
        <v>225</v>
      </c>
      <c r="BJ124" t="s">
        <v>225</v>
      </c>
      <c r="BK124" t="s">
        <v>225</v>
      </c>
      <c r="BL124" t="s">
        <v>205</v>
      </c>
      <c r="BN124" t="s">
        <v>2368</v>
      </c>
      <c r="BO124" t="s">
        <v>2351</v>
      </c>
      <c r="BP124" t="s">
        <v>461</v>
      </c>
      <c r="BQ124" t="s">
        <v>539</v>
      </c>
      <c r="BR124" s="5">
        <v>1</v>
      </c>
      <c r="BS124" s="5">
        <v>0</v>
      </c>
      <c r="BT124" s="5">
        <v>0</v>
      </c>
      <c r="BU124" s="5">
        <f>(BS124/8+BT124/4)*39</f>
        <v>0</v>
      </c>
      <c r="BV124" s="5">
        <v>0</v>
      </c>
      <c r="BW124" s="5">
        <v>0</v>
      </c>
      <c r="BX124" s="5">
        <f>11+1+1/2</f>
        <v>12.5</v>
      </c>
      <c r="BY124" s="5">
        <v>0</v>
      </c>
      <c r="BZ124" s="5">
        <v>0</v>
      </c>
      <c r="CA124" s="5">
        <v>0</v>
      </c>
      <c r="CB124" s="5">
        <v>0</v>
      </c>
      <c r="CC124" s="5">
        <f>(BV124+BW124/2+BX124/8+BY124/16+BZ124/4+CA124/32)*39</f>
        <v>60.9375</v>
      </c>
      <c r="CD124" s="5">
        <v>0</v>
      </c>
      <c r="CE124" s="5">
        <v>0</v>
      </c>
      <c r="CF124" s="5">
        <f>5+1+1/2</f>
        <v>6.5</v>
      </c>
      <c r="CG124" s="5">
        <v>0</v>
      </c>
      <c r="CH124" s="5">
        <v>0</v>
      </c>
      <c r="CI124" s="5">
        <v>0</v>
      </c>
      <c r="CJ124" s="5">
        <v>0</v>
      </c>
      <c r="CK124" s="5">
        <v>0</v>
      </c>
      <c r="CL124" s="5">
        <f>(CD124+CE124/2+CF124/8+CG124/16+CH124/4+CJ124/32+CK124/16)*39</f>
        <v>31.6875</v>
      </c>
      <c r="CM124" s="5">
        <v>0</v>
      </c>
      <c r="CN124" s="5">
        <v>0</v>
      </c>
      <c r="CO124" s="5">
        <v>0</v>
      </c>
      <c r="CP124" s="5">
        <v>0</v>
      </c>
      <c r="CQ124" s="5">
        <v>0</v>
      </c>
      <c r="CR124" t="s">
        <v>757</v>
      </c>
      <c r="CS124">
        <f>9+2/12+5+7/12</f>
        <v>14.75</v>
      </c>
      <c r="CT124">
        <v>1</v>
      </c>
      <c r="CU124">
        <v>0</v>
      </c>
      <c r="CV124">
        <v>0</v>
      </c>
      <c r="CW124">
        <f>CS124+CT124/24+CU124/48+CV124/48</f>
        <v>14.791666666666666</v>
      </c>
      <c r="CX124">
        <v>0</v>
      </c>
      <c r="CY124" t="s">
        <v>248</v>
      </c>
      <c r="DA124" t="s">
        <v>1733</v>
      </c>
      <c r="DB124" t="s">
        <v>2355</v>
      </c>
    </row>
    <row r="125" spans="1:114" x14ac:dyDescent="0.25">
      <c r="A125">
        <v>1123</v>
      </c>
      <c r="C125" t="s">
        <v>1439</v>
      </c>
      <c r="D125" t="s">
        <v>1440</v>
      </c>
      <c r="E125" t="s">
        <v>1406</v>
      </c>
      <c r="I125" t="s">
        <v>219</v>
      </c>
      <c r="J125">
        <v>1343</v>
      </c>
      <c r="K125" t="s">
        <v>973</v>
      </c>
      <c r="L125">
        <v>29</v>
      </c>
      <c r="M125" s="7" t="s">
        <v>338</v>
      </c>
      <c r="W125" t="s">
        <v>225</v>
      </c>
      <c r="X125" t="s">
        <v>225</v>
      </c>
      <c r="Y125">
        <v>1</v>
      </c>
      <c r="Z125" t="s">
        <v>225</v>
      </c>
      <c r="AA125" t="s">
        <v>225</v>
      </c>
      <c r="AB125" t="s">
        <v>225</v>
      </c>
      <c r="AC125" t="s">
        <v>225</v>
      </c>
      <c r="AD125" t="s">
        <v>225</v>
      </c>
      <c r="AE125" t="s">
        <v>225</v>
      </c>
      <c r="AF125" t="s">
        <v>225</v>
      </c>
      <c r="AG125" t="s">
        <v>225</v>
      </c>
      <c r="AH125" t="s">
        <v>225</v>
      </c>
      <c r="AI125" t="s">
        <v>225</v>
      </c>
      <c r="AJ125" t="s">
        <v>225</v>
      </c>
      <c r="AK125" t="s">
        <v>225</v>
      </c>
      <c r="AL125" t="s">
        <v>225</v>
      </c>
      <c r="AM125" t="s">
        <v>225</v>
      </c>
      <c r="AN125" t="s">
        <v>225</v>
      </c>
      <c r="AO125" t="s">
        <v>225</v>
      </c>
      <c r="AP125" t="s">
        <v>225</v>
      </c>
      <c r="AQ125" t="s">
        <v>225</v>
      </c>
      <c r="AR125" t="s">
        <v>225</v>
      </c>
      <c r="AS125" t="s">
        <v>225</v>
      </c>
      <c r="AT125" t="s">
        <v>225</v>
      </c>
      <c r="AU125" t="s">
        <v>225</v>
      </c>
      <c r="AV125" t="s">
        <v>225</v>
      </c>
      <c r="AW125" t="s">
        <v>225</v>
      </c>
      <c r="AX125" t="s">
        <v>225</v>
      </c>
      <c r="AY125" t="s">
        <v>225</v>
      </c>
      <c r="AZ125" t="s">
        <v>225</v>
      </c>
      <c r="BA125" t="s">
        <v>225</v>
      </c>
      <c r="BB125" t="s">
        <v>225</v>
      </c>
      <c r="BC125" t="s">
        <v>225</v>
      </c>
      <c r="BD125" t="s">
        <v>225</v>
      </c>
      <c r="BE125" t="s">
        <v>225</v>
      </c>
      <c r="BF125" t="s">
        <v>225</v>
      </c>
      <c r="BG125" t="s">
        <v>225</v>
      </c>
      <c r="BH125" t="s">
        <v>225</v>
      </c>
      <c r="BI125" t="s">
        <v>225</v>
      </c>
      <c r="BJ125" t="s">
        <v>225</v>
      </c>
      <c r="BK125" t="s">
        <v>225</v>
      </c>
      <c r="BL125" t="s">
        <v>225</v>
      </c>
      <c r="BN125" t="s">
        <v>306</v>
      </c>
      <c r="BR125" s="5">
        <v>0</v>
      </c>
      <c r="BS125" s="5">
        <v>0</v>
      </c>
      <c r="BT125" s="5">
        <v>0</v>
      </c>
      <c r="BU125" s="5">
        <f>(BS125/8+BT125/4)*39</f>
        <v>0</v>
      </c>
      <c r="BV125" s="5">
        <v>0</v>
      </c>
      <c r="BW125" s="5">
        <v>0</v>
      </c>
      <c r="BX125" s="5">
        <v>0</v>
      </c>
      <c r="BY125" s="5">
        <v>0</v>
      </c>
      <c r="BZ125" s="5">
        <v>0</v>
      </c>
      <c r="CA125" s="5">
        <v>0</v>
      </c>
      <c r="CB125" s="5">
        <v>0</v>
      </c>
      <c r="CC125" s="5">
        <f>(BV125+BW125/2+BX125/8+BY125/16+BZ125/4+CA125/32)*39</f>
        <v>0</v>
      </c>
      <c r="CD125" s="5">
        <v>0</v>
      </c>
      <c r="CE125" s="5">
        <v>0</v>
      </c>
      <c r="CF125" s="5">
        <v>0</v>
      </c>
      <c r="CG125" s="5">
        <v>0</v>
      </c>
      <c r="CH125" s="5">
        <v>0</v>
      </c>
      <c r="CI125" s="5">
        <v>0</v>
      </c>
      <c r="CJ125" s="5">
        <v>0</v>
      </c>
      <c r="CK125" s="5">
        <v>0</v>
      </c>
      <c r="CL125" s="5">
        <f>(CD125+CE125/2+CF125/8+CG125/16+CH125/4+CJ125/32+CK125/16)*39</f>
        <v>0</v>
      </c>
      <c r="CM125" s="5">
        <v>0</v>
      </c>
      <c r="CN125" s="5">
        <v>0</v>
      </c>
      <c r="CO125" s="5">
        <v>0</v>
      </c>
      <c r="CP125" s="5">
        <v>0</v>
      </c>
      <c r="CQ125" s="5">
        <v>0</v>
      </c>
      <c r="CR125" t="s">
        <v>306</v>
      </c>
      <c r="CS125">
        <f>6/12</f>
        <v>0.5</v>
      </c>
      <c r="CT125">
        <v>0</v>
      </c>
      <c r="CU125">
        <v>0</v>
      </c>
      <c r="CV125">
        <v>0</v>
      </c>
      <c r="CW125">
        <f>CS125+CT125/24+CU125/48+CV125/48</f>
        <v>0.5</v>
      </c>
      <c r="CX125">
        <v>0</v>
      </c>
    </row>
    <row r="126" spans="1:114" x14ac:dyDescent="0.25">
      <c r="A126">
        <v>1482</v>
      </c>
      <c r="C126" t="s">
        <v>35</v>
      </c>
      <c r="D126" t="s">
        <v>169</v>
      </c>
      <c r="E126" t="s">
        <v>1810</v>
      </c>
      <c r="G126" t="s">
        <v>2419</v>
      </c>
      <c r="I126" t="s">
        <v>219</v>
      </c>
      <c r="J126" s="16">
        <v>1342</v>
      </c>
      <c r="K126" s="16" t="s">
        <v>817</v>
      </c>
      <c r="L126" t="s">
        <v>15</v>
      </c>
      <c r="M126" s="7" t="s">
        <v>338</v>
      </c>
      <c r="N126" t="s">
        <v>236</v>
      </c>
      <c r="P126" t="s">
        <v>225</v>
      </c>
      <c r="Q126" t="s">
        <v>205</v>
      </c>
      <c r="R126" t="s">
        <v>205</v>
      </c>
      <c r="S126" t="s">
        <v>205</v>
      </c>
      <c r="T126" t="s">
        <v>205</v>
      </c>
      <c r="W126" t="s">
        <v>205</v>
      </c>
      <c r="X126" t="s">
        <v>205</v>
      </c>
      <c r="Y126" t="s">
        <v>205</v>
      </c>
      <c r="Z126" t="s">
        <v>225</v>
      </c>
      <c r="AA126">
        <v>1</v>
      </c>
      <c r="AB126" t="s">
        <v>225</v>
      </c>
      <c r="AC126" t="s">
        <v>225</v>
      </c>
      <c r="AD126" t="s">
        <v>225</v>
      </c>
      <c r="AE126" t="s">
        <v>225</v>
      </c>
      <c r="AF126" t="s">
        <v>225</v>
      </c>
      <c r="AG126" t="s">
        <v>225</v>
      </c>
      <c r="AH126" t="s">
        <v>225</v>
      </c>
      <c r="AI126" t="s">
        <v>225</v>
      </c>
      <c r="AJ126" t="s">
        <v>225</v>
      </c>
      <c r="AK126" t="s">
        <v>225</v>
      </c>
      <c r="AL126">
        <v>2</v>
      </c>
      <c r="AM126">
        <v>3</v>
      </c>
      <c r="AN126" t="s">
        <v>205</v>
      </c>
      <c r="AO126" t="s">
        <v>225</v>
      </c>
      <c r="AP126" t="s">
        <v>205</v>
      </c>
      <c r="AQ126" t="s">
        <v>225</v>
      </c>
      <c r="AR126" t="s">
        <v>225</v>
      </c>
      <c r="AS126" t="s">
        <v>225</v>
      </c>
      <c r="AT126" t="s">
        <v>225</v>
      </c>
      <c r="AU126" t="s">
        <v>225</v>
      </c>
      <c r="AV126" t="s">
        <v>225</v>
      </c>
      <c r="AW126" t="s">
        <v>225</v>
      </c>
      <c r="AX126" t="s">
        <v>205</v>
      </c>
      <c r="AY126" t="s">
        <v>225</v>
      </c>
      <c r="AZ126" t="s">
        <v>225</v>
      </c>
      <c r="BA126" t="s">
        <v>225</v>
      </c>
      <c r="BB126" t="s">
        <v>225</v>
      </c>
      <c r="BC126" t="s">
        <v>225</v>
      </c>
      <c r="BD126" t="s">
        <v>225</v>
      </c>
      <c r="BE126" t="s">
        <v>225</v>
      </c>
      <c r="BF126" t="s">
        <v>225</v>
      </c>
      <c r="BG126" t="s">
        <v>225</v>
      </c>
      <c r="BH126" t="s">
        <v>225</v>
      </c>
      <c r="BI126" t="s">
        <v>225</v>
      </c>
      <c r="BJ126" t="s">
        <v>225</v>
      </c>
      <c r="BK126" t="s">
        <v>225</v>
      </c>
      <c r="BL126" t="s">
        <v>225</v>
      </c>
      <c r="BN126" t="s">
        <v>2480</v>
      </c>
      <c r="BQ126" t="s">
        <v>539</v>
      </c>
      <c r="BR126" s="5">
        <v>1</v>
      </c>
      <c r="BS126" s="5">
        <v>0</v>
      </c>
      <c r="BT126" s="5">
        <v>0</v>
      </c>
      <c r="BU126" s="5">
        <f>(BS126/8+BT126/4)*39</f>
        <v>0</v>
      </c>
      <c r="BV126" s="5">
        <v>2</v>
      </c>
      <c r="BW126" s="5">
        <v>0</v>
      </c>
      <c r="BX126" s="5">
        <v>0</v>
      </c>
      <c r="BY126" s="5">
        <v>0</v>
      </c>
      <c r="BZ126" s="5">
        <v>1</v>
      </c>
      <c r="CA126" s="5">
        <v>0</v>
      </c>
      <c r="CB126" s="5">
        <v>0</v>
      </c>
      <c r="CC126" s="5">
        <f>(BV126+BW126/2+BX126/8+BY126/16+BZ126/4+CA126/32)*39</f>
        <v>87.75</v>
      </c>
      <c r="CD126" s="5">
        <v>0</v>
      </c>
      <c r="CE126" s="5">
        <v>0</v>
      </c>
      <c r="CF126" s="5">
        <f>7+1/2</f>
        <v>7.5</v>
      </c>
      <c r="CG126" s="5">
        <v>0</v>
      </c>
      <c r="CH126" s="5">
        <v>0</v>
      </c>
      <c r="CI126" s="5">
        <v>0</v>
      </c>
      <c r="CJ126" s="5">
        <v>0</v>
      </c>
      <c r="CK126" s="5">
        <v>0</v>
      </c>
      <c r="CL126" s="5">
        <f>(CD126+CE126/2+CF126/8+CG126/16+CH126/4+CJ126/32+CK126/16)*39</f>
        <v>36.5625</v>
      </c>
      <c r="CM126" s="5">
        <v>0</v>
      </c>
      <c r="CN126" s="5">
        <v>0</v>
      </c>
      <c r="CO126" s="5">
        <v>0</v>
      </c>
      <c r="CP126" s="5">
        <v>0</v>
      </c>
      <c r="CQ126" s="5">
        <v>0</v>
      </c>
      <c r="CR126" t="s">
        <v>2475</v>
      </c>
      <c r="CS126">
        <f>17+3/12</f>
        <v>17.25</v>
      </c>
      <c r="CT126">
        <v>0</v>
      </c>
      <c r="CU126">
        <v>0</v>
      </c>
      <c r="CV126">
        <v>0</v>
      </c>
      <c r="CW126">
        <f>CS126+CT126/24+CU126/48+CV126/48</f>
        <v>17.25</v>
      </c>
      <c r="CX126">
        <v>0</v>
      </c>
      <c r="CY126" t="s">
        <v>248</v>
      </c>
      <c r="DA126" t="s">
        <v>1733</v>
      </c>
      <c r="DB126" t="s">
        <v>2477</v>
      </c>
    </row>
    <row r="127" spans="1:114" x14ac:dyDescent="0.25">
      <c r="A127">
        <v>1432</v>
      </c>
      <c r="B127" t="s">
        <v>1708</v>
      </c>
      <c r="C127" t="s">
        <v>3764</v>
      </c>
      <c r="D127" t="s">
        <v>2262</v>
      </c>
      <c r="E127" t="s">
        <v>1626</v>
      </c>
      <c r="G127" t="s">
        <v>2263</v>
      </c>
      <c r="H127" t="s">
        <v>3810</v>
      </c>
      <c r="I127" t="s">
        <v>3219</v>
      </c>
      <c r="J127">
        <v>1343</v>
      </c>
      <c r="K127" t="s">
        <v>817</v>
      </c>
      <c r="L127">
        <v>18</v>
      </c>
      <c r="M127" s="8" t="s">
        <v>338</v>
      </c>
      <c r="V127" t="s">
        <v>1463</v>
      </c>
      <c r="W127" t="s">
        <v>225</v>
      </c>
      <c r="X127" t="s">
        <v>225</v>
      </c>
      <c r="Y127" t="s">
        <v>225</v>
      </c>
      <c r="Z127" t="s">
        <v>225</v>
      </c>
      <c r="AA127" t="s">
        <v>225</v>
      </c>
      <c r="AB127" t="s">
        <v>225</v>
      </c>
      <c r="AC127" t="s">
        <v>225</v>
      </c>
      <c r="AD127" t="s">
        <v>225</v>
      </c>
      <c r="AE127" t="s">
        <v>225</v>
      </c>
      <c r="AF127" t="s">
        <v>225</v>
      </c>
      <c r="AG127" t="s">
        <v>225</v>
      </c>
      <c r="AH127" t="s">
        <v>225</v>
      </c>
      <c r="AI127" t="s">
        <v>225</v>
      </c>
      <c r="AJ127" t="s">
        <v>225</v>
      </c>
      <c r="AK127" t="s">
        <v>225</v>
      </c>
      <c r="AL127" t="s">
        <v>225</v>
      </c>
      <c r="AM127" t="s">
        <v>225</v>
      </c>
      <c r="AN127" t="s">
        <v>225</v>
      </c>
      <c r="AO127" t="s">
        <v>225</v>
      </c>
      <c r="AP127" t="s">
        <v>225</v>
      </c>
      <c r="AQ127" t="s">
        <v>225</v>
      </c>
      <c r="AR127" t="s">
        <v>225</v>
      </c>
      <c r="AS127" t="s">
        <v>225</v>
      </c>
      <c r="AT127" t="s">
        <v>225</v>
      </c>
      <c r="AU127" t="s">
        <v>225</v>
      </c>
      <c r="AV127" t="s">
        <v>225</v>
      </c>
      <c r="AW127" t="s">
        <v>225</v>
      </c>
      <c r="AX127" t="s">
        <v>225</v>
      </c>
      <c r="AY127" t="s">
        <v>225</v>
      </c>
      <c r="AZ127" t="s">
        <v>225</v>
      </c>
      <c r="BA127" t="s">
        <v>225</v>
      </c>
      <c r="BB127">
        <v>1</v>
      </c>
      <c r="BC127" t="s">
        <v>225</v>
      </c>
      <c r="BD127" t="s">
        <v>225</v>
      </c>
      <c r="BE127" t="s">
        <v>225</v>
      </c>
      <c r="BF127" t="s">
        <v>225</v>
      </c>
      <c r="BG127" t="s">
        <v>225</v>
      </c>
      <c r="BH127" t="s">
        <v>225</v>
      </c>
      <c r="BI127" t="s">
        <v>225</v>
      </c>
      <c r="BJ127" t="s">
        <v>225</v>
      </c>
      <c r="BK127" t="s">
        <v>225</v>
      </c>
      <c r="BL127" t="s">
        <v>225</v>
      </c>
      <c r="BN127" s="5" t="s">
        <v>2274</v>
      </c>
      <c r="BP127" t="s">
        <v>1598</v>
      </c>
      <c r="BR127" s="5">
        <v>0</v>
      </c>
      <c r="BS127" s="5">
        <v>0</v>
      </c>
      <c r="BT127" s="5">
        <v>0</v>
      </c>
      <c r="BU127" s="5">
        <f>(BS127/8+BT127/4)*39</f>
        <v>0</v>
      </c>
      <c r="BV127" s="5">
        <v>0</v>
      </c>
      <c r="BW127" s="5">
        <v>0</v>
      </c>
      <c r="BX127" s="5">
        <v>0</v>
      </c>
      <c r="BY127" s="5">
        <v>0</v>
      </c>
      <c r="BZ127" s="5">
        <v>0</v>
      </c>
      <c r="CA127" s="5">
        <v>0</v>
      </c>
      <c r="CB127" s="5">
        <v>0</v>
      </c>
      <c r="CC127" s="5">
        <f>(BV127+BW127/2+BX127/8+BY127/16+BZ127/4+CA127/32)*39</f>
        <v>0</v>
      </c>
      <c r="CD127" s="5">
        <v>0</v>
      </c>
      <c r="CE127" s="5">
        <v>0</v>
      </c>
      <c r="CF127" s="5">
        <v>0</v>
      </c>
      <c r="CG127" s="5">
        <v>0</v>
      </c>
      <c r="CH127" s="5">
        <v>0</v>
      </c>
      <c r="CI127" s="5">
        <v>0</v>
      </c>
      <c r="CJ127" s="5">
        <v>0</v>
      </c>
      <c r="CK127" s="5">
        <v>0</v>
      </c>
      <c r="CL127" s="5">
        <f>(CD127+CE127/2+CF127/8+CG127/16+CH127/4+CJ127/32+CK127/16)*39</f>
        <v>0</v>
      </c>
      <c r="CM127" s="5">
        <v>0</v>
      </c>
      <c r="CN127" s="5">
        <v>6</v>
      </c>
      <c r="CO127" s="5">
        <v>1</v>
      </c>
      <c r="CP127" s="5">
        <v>0</v>
      </c>
      <c r="CQ127" s="5">
        <v>0</v>
      </c>
      <c r="CR127" t="s">
        <v>2274</v>
      </c>
      <c r="CS127">
        <v>0</v>
      </c>
      <c r="CT127">
        <v>0</v>
      </c>
      <c r="CU127">
        <v>0</v>
      </c>
      <c r="CV127">
        <v>0</v>
      </c>
      <c r="CW127">
        <f>CS127+CT127/24+CU127/48+CV127/48</f>
        <v>0</v>
      </c>
      <c r="CX127">
        <v>0</v>
      </c>
      <c r="CZ127" t="s">
        <v>210</v>
      </c>
      <c r="DD127" s="16" t="s">
        <v>693</v>
      </c>
      <c r="DJ127" t="s">
        <v>2268</v>
      </c>
    </row>
    <row r="128" spans="1:114" x14ac:dyDescent="0.25">
      <c r="A128">
        <v>181</v>
      </c>
      <c r="C128" t="s">
        <v>250</v>
      </c>
      <c r="D128" t="s">
        <v>234</v>
      </c>
      <c r="E128" t="s">
        <v>197</v>
      </c>
      <c r="H128" t="s">
        <v>1204</v>
      </c>
      <c r="I128" t="s">
        <v>219</v>
      </c>
      <c r="J128">
        <v>1342</v>
      </c>
      <c r="K128" t="s">
        <v>198</v>
      </c>
      <c r="L128">
        <v>18</v>
      </c>
      <c r="M128" s="7" t="s">
        <v>338</v>
      </c>
      <c r="N128" t="s">
        <v>236</v>
      </c>
      <c r="O128" t="s">
        <v>201</v>
      </c>
      <c r="P128" t="s">
        <v>225</v>
      </c>
      <c r="Q128" s="19" t="s">
        <v>205</v>
      </c>
      <c r="R128" t="s">
        <v>205</v>
      </c>
      <c r="S128" t="s">
        <v>205</v>
      </c>
      <c r="T128" t="s">
        <v>225</v>
      </c>
      <c r="W128">
        <v>1</v>
      </c>
      <c r="X128">
        <v>1</v>
      </c>
      <c r="Y128" t="s">
        <v>205</v>
      </c>
      <c r="Z128" t="s">
        <v>205</v>
      </c>
      <c r="AA128" t="s">
        <v>225</v>
      </c>
      <c r="AB128" t="s">
        <v>205</v>
      </c>
      <c r="AC128" t="s">
        <v>205</v>
      </c>
      <c r="AD128" t="s">
        <v>225</v>
      </c>
      <c r="AE128" t="s">
        <v>205</v>
      </c>
      <c r="AF128" t="s">
        <v>205</v>
      </c>
      <c r="AG128" t="s">
        <v>225</v>
      </c>
      <c r="AH128" t="s">
        <v>225</v>
      </c>
      <c r="AI128" t="s">
        <v>225</v>
      </c>
      <c r="AJ128" t="s">
        <v>225</v>
      </c>
      <c r="AK128" t="s">
        <v>225</v>
      </c>
      <c r="AL128" t="s">
        <v>225</v>
      </c>
      <c r="AM128" t="s">
        <v>225</v>
      </c>
      <c r="AN128" t="s">
        <v>225</v>
      </c>
      <c r="AO128" t="s">
        <v>225</v>
      </c>
      <c r="AP128" t="s">
        <v>225</v>
      </c>
      <c r="AQ128" t="s">
        <v>225</v>
      </c>
      <c r="AR128" t="s">
        <v>225</v>
      </c>
      <c r="AS128" t="s">
        <v>225</v>
      </c>
      <c r="AT128" t="s">
        <v>225</v>
      </c>
      <c r="AU128" t="s">
        <v>225</v>
      </c>
      <c r="AV128" t="s">
        <v>225</v>
      </c>
      <c r="AW128" t="s">
        <v>225</v>
      </c>
      <c r="AX128" t="s">
        <v>225</v>
      </c>
      <c r="AY128" t="s">
        <v>225</v>
      </c>
      <c r="AZ128" t="s">
        <v>225</v>
      </c>
      <c r="BA128" t="s">
        <v>225</v>
      </c>
      <c r="BB128" t="s">
        <v>225</v>
      </c>
      <c r="BC128" t="s">
        <v>225</v>
      </c>
      <c r="BD128" t="s">
        <v>225</v>
      </c>
      <c r="BE128" t="s">
        <v>225</v>
      </c>
      <c r="BF128" t="s">
        <v>225</v>
      </c>
      <c r="BG128" t="s">
        <v>225</v>
      </c>
      <c r="BH128" t="s">
        <v>225</v>
      </c>
      <c r="BI128" t="s">
        <v>225</v>
      </c>
      <c r="BJ128" t="s">
        <v>225</v>
      </c>
      <c r="BK128" t="s">
        <v>225</v>
      </c>
      <c r="BL128" t="s">
        <v>205</v>
      </c>
      <c r="BN128" t="s">
        <v>1240</v>
      </c>
      <c r="BO128" t="s">
        <v>1198</v>
      </c>
      <c r="BP128" t="s">
        <v>1245</v>
      </c>
      <c r="BQ128" t="s">
        <v>3563</v>
      </c>
      <c r="BR128" s="3">
        <f>1/2</f>
        <v>0.5</v>
      </c>
      <c r="BS128">
        <v>0</v>
      </c>
      <c r="BT128">
        <v>0</v>
      </c>
      <c r="BU128" s="5">
        <f>(BS128/8+BT128/4)*39</f>
        <v>0</v>
      </c>
      <c r="BV128">
        <v>0</v>
      </c>
      <c r="BW128">
        <v>0</v>
      </c>
      <c r="BX128">
        <f>1+1/2+1/6+1/3</f>
        <v>2</v>
      </c>
      <c r="BY128">
        <v>1</v>
      </c>
      <c r="BZ128">
        <v>0</v>
      </c>
      <c r="CA128">
        <v>0</v>
      </c>
      <c r="CB128">
        <v>0</v>
      </c>
      <c r="CC128" s="5">
        <f>(BV128+BW128/2+BX128/8+BY128/16+BZ128/4+CA128/32)*39</f>
        <v>12.1875</v>
      </c>
      <c r="CD128">
        <v>0</v>
      </c>
      <c r="CE128">
        <v>0</v>
      </c>
      <c r="CF128">
        <f>1/3+1/2</f>
        <v>0.83333333333333326</v>
      </c>
      <c r="CG128">
        <f>1/2</f>
        <v>0.5</v>
      </c>
      <c r="CH128">
        <v>3</v>
      </c>
      <c r="CI128">
        <v>0</v>
      </c>
      <c r="CJ128">
        <v>0</v>
      </c>
      <c r="CK128">
        <v>0</v>
      </c>
      <c r="CL128" s="5">
        <f>(CD128+CE128/2+CF128/8+CG128/16+CH128/4+CJ128/32+CK128/16)*39</f>
        <v>34.53125</v>
      </c>
      <c r="CM128">
        <v>0</v>
      </c>
      <c r="CN128">
        <v>0</v>
      </c>
      <c r="CO128">
        <v>0</v>
      </c>
      <c r="CP128">
        <v>0</v>
      </c>
      <c r="CQ128">
        <v>0</v>
      </c>
      <c r="CR128" t="s">
        <v>1249</v>
      </c>
      <c r="CS128">
        <f>6+9/12+2+9/12</f>
        <v>9.5</v>
      </c>
      <c r="CT128">
        <f>1+1/3</f>
        <v>1.3333333333333333</v>
      </c>
      <c r="CU128">
        <v>1</v>
      </c>
      <c r="CV128">
        <v>0</v>
      </c>
      <c r="CW128">
        <f>CS128+CT128/24+CU128/48+CV128/48</f>
        <v>9.5763888888888893</v>
      </c>
      <c r="CX128">
        <v>0</v>
      </c>
      <c r="CY128" t="s">
        <v>248</v>
      </c>
      <c r="CZ128" t="s">
        <v>210</v>
      </c>
      <c r="DA128" t="s">
        <v>456</v>
      </c>
      <c r="DB128" t="s">
        <v>1236</v>
      </c>
      <c r="DC128" t="s">
        <v>262</v>
      </c>
      <c r="DD128" t="s">
        <v>693</v>
      </c>
      <c r="DE128" t="s">
        <v>1254</v>
      </c>
      <c r="DF128" t="s">
        <v>1255</v>
      </c>
      <c r="DG128" t="s">
        <v>1256</v>
      </c>
    </row>
    <row r="129" spans="1:114" x14ac:dyDescent="0.25">
      <c r="A129">
        <v>251</v>
      </c>
      <c r="C129" t="s">
        <v>233</v>
      </c>
      <c r="D129" t="s">
        <v>234</v>
      </c>
      <c r="E129" t="s">
        <v>197</v>
      </c>
      <c r="I129" t="s">
        <v>220</v>
      </c>
      <c r="J129">
        <v>1343</v>
      </c>
      <c r="K129" t="s">
        <v>198</v>
      </c>
      <c r="L129">
        <v>31</v>
      </c>
      <c r="M129" s="7" t="s">
        <v>199</v>
      </c>
      <c r="N129" t="s">
        <v>358</v>
      </c>
      <c r="O129" t="s">
        <v>201</v>
      </c>
      <c r="P129" t="s">
        <v>225</v>
      </c>
      <c r="Q129" t="s">
        <v>205</v>
      </c>
      <c r="R129" t="s">
        <v>205</v>
      </c>
      <c r="S129" t="s">
        <v>225</v>
      </c>
      <c r="T129" t="s">
        <v>225</v>
      </c>
      <c r="U129" t="s">
        <v>252</v>
      </c>
      <c r="V129" t="s">
        <v>204</v>
      </c>
      <c r="W129">
        <v>1</v>
      </c>
      <c r="X129">
        <v>2</v>
      </c>
      <c r="Y129" t="s">
        <v>225</v>
      </c>
      <c r="Z129" t="s">
        <v>225</v>
      </c>
      <c r="AA129" t="s">
        <v>225</v>
      </c>
      <c r="AB129" t="s">
        <v>225</v>
      </c>
      <c r="AC129" t="s">
        <v>225</v>
      </c>
      <c r="AD129" t="s">
        <v>225</v>
      </c>
      <c r="AE129" t="s">
        <v>225</v>
      </c>
      <c r="AF129" t="s">
        <v>225</v>
      </c>
      <c r="AG129" t="s">
        <v>225</v>
      </c>
      <c r="AH129" t="s">
        <v>225</v>
      </c>
      <c r="AI129" t="s">
        <v>225</v>
      </c>
      <c r="AJ129" t="s">
        <v>225</v>
      </c>
      <c r="AK129" t="s">
        <v>225</v>
      </c>
      <c r="AL129" t="s">
        <v>225</v>
      </c>
      <c r="AM129" t="s">
        <v>225</v>
      </c>
      <c r="AN129" t="s">
        <v>225</v>
      </c>
      <c r="AO129" t="s">
        <v>225</v>
      </c>
      <c r="AP129" t="s">
        <v>225</v>
      </c>
      <c r="AQ129" t="s">
        <v>225</v>
      </c>
      <c r="AR129" t="s">
        <v>225</v>
      </c>
      <c r="AS129" t="s">
        <v>225</v>
      </c>
      <c r="AT129" t="s">
        <v>225</v>
      </c>
      <c r="AU129" t="s">
        <v>225</v>
      </c>
      <c r="AV129" t="s">
        <v>225</v>
      </c>
      <c r="AW129" t="s">
        <v>225</v>
      </c>
      <c r="AX129" t="s">
        <v>225</v>
      </c>
      <c r="AY129" t="s">
        <v>225</v>
      </c>
      <c r="AZ129" t="s">
        <v>225</v>
      </c>
      <c r="BA129" t="s">
        <v>225</v>
      </c>
      <c r="BB129" t="s">
        <v>225</v>
      </c>
      <c r="BC129" t="s">
        <v>225</v>
      </c>
      <c r="BD129" t="s">
        <v>225</v>
      </c>
      <c r="BE129" t="s">
        <v>225</v>
      </c>
      <c r="BF129" t="s">
        <v>225</v>
      </c>
      <c r="BG129" t="s">
        <v>225</v>
      </c>
      <c r="BH129" t="s">
        <v>225</v>
      </c>
      <c r="BI129" t="s">
        <v>225</v>
      </c>
      <c r="BJ129" t="s">
        <v>225</v>
      </c>
      <c r="BK129" t="s">
        <v>225</v>
      </c>
      <c r="BL129" t="s">
        <v>225</v>
      </c>
      <c r="BN129" s="3"/>
      <c r="BO129" t="s">
        <v>197</v>
      </c>
      <c r="BR129">
        <f>1/2</f>
        <v>0.5</v>
      </c>
      <c r="BS129">
        <v>0</v>
      </c>
      <c r="BT129">
        <v>0</v>
      </c>
      <c r="BU129" s="5">
        <f>(BS129/8+BT129/4)*39</f>
        <v>0</v>
      </c>
      <c r="BV129">
        <v>0</v>
      </c>
      <c r="BW129">
        <v>0</v>
      </c>
      <c r="BX129">
        <v>0</v>
      </c>
      <c r="BY129">
        <v>0</v>
      </c>
      <c r="BZ129">
        <v>0</v>
      </c>
      <c r="CA129">
        <v>0</v>
      </c>
      <c r="CB129">
        <v>0</v>
      </c>
      <c r="CC129" s="5">
        <f>(BV129+BW129/2+BX129/8+BY129/16+BZ129/4+CA129/32)*39</f>
        <v>0</v>
      </c>
      <c r="CD129">
        <v>0</v>
      </c>
      <c r="CE129">
        <v>0</v>
      </c>
      <c r="CF129">
        <v>0</v>
      </c>
      <c r="CG129">
        <v>0</v>
      </c>
      <c r="CH129">
        <v>0</v>
      </c>
      <c r="CI129">
        <v>0</v>
      </c>
      <c r="CJ129">
        <v>0</v>
      </c>
      <c r="CK129">
        <v>0</v>
      </c>
      <c r="CL129" s="5">
        <f>(CD129+CE129/2+CF129/8+CG129/16+CH129/4+CJ129/32+CK129/16)*39</f>
        <v>0</v>
      </c>
      <c r="CM129">
        <v>0</v>
      </c>
      <c r="CN129">
        <v>0</v>
      </c>
      <c r="CO129">
        <v>0</v>
      </c>
      <c r="CP129">
        <v>0</v>
      </c>
      <c r="CQ129">
        <v>0</v>
      </c>
      <c r="CS129" s="3">
        <f>1/3</f>
        <v>0.33333333333333331</v>
      </c>
      <c r="CT129" s="12">
        <v>0</v>
      </c>
      <c r="CU129" s="12">
        <v>0</v>
      </c>
      <c r="CV129">
        <v>0</v>
      </c>
      <c r="CW129">
        <f>CS129+CT129/24+CU129/48+CV129/48</f>
        <v>0.33333333333333331</v>
      </c>
      <c r="CX129">
        <v>0</v>
      </c>
      <c r="CY129" s="3" t="s">
        <v>238</v>
      </c>
      <c r="CZ129" t="s">
        <v>210</v>
      </c>
      <c r="DC129" t="s">
        <v>262</v>
      </c>
      <c r="DD129" t="s">
        <v>693</v>
      </c>
      <c r="DE129" t="s">
        <v>213</v>
      </c>
      <c r="DF129" t="s">
        <v>216</v>
      </c>
    </row>
    <row r="130" spans="1:114" x14ac:dyDescent="0.25">
      <c r="A130">
        <v>1391</v>
      </c>
      <c r="C130" t="s">
        <v>2082</v>
      </c>
      <c r="D130" t="s">
        <v>2083</v>
      </c>
      <c r="E130" t="s">
        <v>2081</v>
      </c>
      <c r="G130" t="s">
        <v>2084</v>
      </c>
      <c r="H130" t="s">
        <v>2085</v>
      </c>
      <c r="I130" t="s">
        <v>219</v>
      </c>
      <c r="J130">
        <v>1342</v>
      </c>
      <c r="K130" t="s">
        <v>2149</v>
      </c>
      <c r="L130">
        <v>15</v>
      </c>
      <c r="M130" s="8" t="s">
        <v>338</v>
      </c>
      <c r="W130" t="s">
        <v>225</v>
      </c>
      <c r="X130" t="s">
        <v>225</v>
      </c>
      <c r="Y130">
        <v>1</v>
      </c>
      <c r="Z130" t="s">
        <v>225</v>
      </c>
      <c r="AA130" t="s">
        <v>225</v>
      </c>
      <c r="AB130" t="s">
        <v>225</v>
      </c>
      <c r="AC130" t="s">
        <v>225</v>
      </c>
      <c r="AD130">
        <f>9+1/6</f>
        <v>9.1666666666666661</v>
      </c>
      <c r="AE130" t="s">
        <v>225</v>
      </c>
      <c r="AF130" t="s">
        <v>225</v>
      </c>
      <c r="AG130" t="s">
        <v>225</v>
      </c>
      <c r="AH130" t="s">
        <v>225</v>
      </c>
      <c r="AI130" t="s">
        <v>225</v>
      </c>
      <c r="AJ130" t="s">
        <v>225</v>
      </c>
      <c r="AK130" t="s">
        <v>225</v>
      </c>
      <c r="AL130" t="s">
        <v>225</v>
      </c>
      <c r="AM130" t="s">
        <v>225</v>
      </c>
      <c r="AN130" t="s">
        <v>225</v>
      </c>
      <c r="AO130" t="s">
        <v>225</v>
      </c>
      <c r="AP130" t="s">
        <v>225</v>
      </c>
      <c r="AQ130" t="s">
        <v>225</v>
      </c>
      <c r="AR130" t="s">
        <v>225</v>
      </c>
      <c r="AS130" t="s">
        <v>225</v>
      </c>
      <c r="AT130" t="s">
        <v>225</v>
      </c>
      <c r="AU130" t="s">
        <v>225</v>
      </c>
      <c r="AV130" t="s">
        <v>225</v>
      </c>
      <c r="AW130" t="s">
        <v>225</v>
      </c>
      <c r="AX130" t="s">
        <v>225</v>
      </c>
      <c r="AY130" t="s">
        <v>225</v>
      </c>
      <c r="AZ130" t="s">
        <v>225</v>
      </c>
      <c r="BA130" t="s">
        <v>225</v>
      </c>
      <c r="BB130" t="s">
        <v>225</v>
      </c>
      <c r="BC130" t="s">
        <v>225</v>
      </c>
      <c r="BD130" t="s">
        <v>225</v>
      </c>
      <c r="BE130" t="s">
        <v>225</v>
      </c>
      <c r="BF130" t="s">
        <v>225</v>
      </c>
      <c r="BG130" t="s">
        <v>225</v>
      </c>
      <c r="BH130" t="s">
        <v>225</v>
      </c>
      <c r="BI130" t="s">
        <v>225</v>
      </c>
      <c r="BJ130" t="s">
        <v>225</v>
      </c>
      <c r="BK130" t="s">
        <v>225</v>
      </c>
      <c r="BL130" t="s">
        <v>205</v>
      </c>
      <c r="BN130" s="5" t="s">
        <v>2145</v>
      </c>
      <c r="BP130" t="s">
        <v>1245</v>
      </c>
      <c r="BQ130" t="s">
        <v>2081</v>
      </c>
      <c r="BR130" s="5">
        <v>0</v>
      </c>
      <c r="BS130" s="5">
        <v>0</v>
      </c>
      <c r="BT130" s="5">
        <v>0</v>
      </c>
      <c r="BU130" s="5">
        <f>(BS130/8+BT130/4)*39</f>
        <v>0</v>
      </c>
      <c r="BV130" s="5">
        <v>1</v>
      </c>
      <c r="BW130" s="5">
        <v>0</v>
      </c>
      <c r="BX130" s="5">
        <v>0</v>
      </c>
      <c r="BY130" s="5">
        <v>0</v>
      </c>
      <c r="BZ130" s="5">
        <v>0</v>
      </c>
      <c r="CA130" s="5">
        <v>0</v>
      </c>
      <c r="CB130" s="5">
        <v>0</v>
      </c>
      <c r="CC130" s="5">
        <f>(BV130+BW130/2+BX130/8+BY130/16+BZ130/4+CA130/32)*39</f>
        <v>39</v>
      </c>
      <c r="CD130" s="5">
        <v>1</v>
      </c>
      <c r="CE130" s="5">
        <v>0</v>
      </c>
      <c r="CF130" s="5">
        <v>0</v>
      </c>
      <c r="CG130" s="5">
        <v>0</v>
      </c>
      <c r="CH130" s="5">
        <v>0</v>
      </c>
      <c r="CI130" s="5">
        <v>0</v>
      </c>
      <c r="CJ130" s="5">
        <v>0</v>
      </c>
      <c r="CK130" s="5">
        <v>0</v>
      </c>
      <c r="CL130" s="5">
        <f>(CD130+CE130/2+CF130/8+CG130/16+CH130/4+CJ130/32+CK130/16)*39</f>
        <v>39</v>
      </c>
      <c r="CM130" s="5">
        <v>0</v>
      </c>
      <c r="CN130" s="5">
        <v>0</v>
      </c>
      <c r="CO130" s="5">
        <v>0</v>
      </c>
      <c r="CP130" s="5">
        <v>0</v>
      </c>
      <c r="CQ130" s="5">
        <v>0</v>
      </c>
      <c r="CS130">
        <v>4</v>
      </c>
      <c r="CT130">
        <v>0</v>
      </c>
      <c r="CU130">
        <v>0</v>
      </c>
      <c r="CV130">
        <v>0</v>
      </c>
      <c r="CW130">
        <f>CS130+CT130/24+CU130/48+CV130/48</f>
        <v>4</v>
      </c>
      <c r="CX130">
        <v>0</v>
      </c>
      <c r="DA130" t="s">
        <v>2086</v>
      </c>
      <c r="DB130" t="s">
        <v>2087</v>
      </c>
      <c r="DC130" s="5" t="s">
        <v>2146</v>
      </c>
      <c r="DD130" t="s">
        <v>693</v>
      </c>
      <c r="DE130" t="s">
        <v>945</v>
      </c>
      <c r="DF130" t="s">
        <v>1230</v>
      </c>
      <c r="DG130" t="s">
        <v>2195</v>
      </c>
      <c r="DH130" t="s">
        <v>2147</v>
      </c>
      <c r="DJ130" t="s">
        <v>2144</v>
      </c>
    </row>
    <row r="131" spans="1:114" x14ac:dyDescent="0.25">
      <c r="A131">
        <v>761</v>
      </c>
      <c r="C131" t="s">
        <v>135</v>
      </c>
      <c r="D131" t="s">
        <v>880</v>
      </c>
      <c r="E131" t="s">
        <v>191</v>
      </c>
      <c r="I131" t="s">
        <v>219</v>
      </c>
      <c r="J131">
        <v>1343</v>
      </c>
      <c r="K131" t="s">
        <v>383</v>
      </c>
      <c r="L131">
        <v>14</v>
      </c>
      <c r="M131" s="7" t="s">
        <v>338</v>
      </c>
      <c r="N131" t="s">
        <v>236</v>
      </c>
      <c r="O131" t="s">
        <v>201</v>
      </c>
      <c r="P131" t="s">
        <v>225</v>
      </c>
      <c r="Q131" s="19" t="s">
        <v>205</v>
      </c>
      <c r="R131" t="s">
        <v>205</v>
      </c>
      <c r="S131" t="s">
        <v>205</v>
      </c>
      <c r="T131" t="s">
        <v>225</v>
      </c>
      <c r="U131" t="s">
        <v>277</v>
      </c>
      <c r="V131" t="s">
        <v>204</v>
      </c>
      <c r="W131" t="s">
        <v>205</v>
      </c>
      <c r="X131" t="s">
        <v>205</v>
      </c>
      <c r="Y131" t="s">
        <v>205</v>
      </c>
      <c r="Z131" t="s">
        <v>225</v>
      </c>
      <c r="AA131" t="s">
        <v>225</v>
      </c>
      <c r="AB131" t="s">
        <v>225</v>
      </c>
      <c r="AC131" t="s">
        <v>205</v>
      </c>
      <c r="AD131" t="s">
        <v>205</v>
      </c>
      <c r="AE131" t="s">
        <v>225</v>
      </c>
      <c r="AF131" t="s">
        <v>225</v>
      </c>
      <c r="AG131" t="s">
        <v>225</v>
      </c>
      <c r="AH131" t="s">
        <v>225</v>
      </c>
      <c r="AI131" t="s">
        <v>225</v>
      </c>
      <c r="AJ131" t="s">
        <v>225</v>
      </c>
      <c r="AK131" t="s">
        <v>225</v>
      </c>
      <c r="AL131" t="s">
        <v>225</v>
      </c>
      <c r="AM131" t="s">
        <v>225</v>
      </c>
      <c r="AN131" t="s">
        <v>225</v>
      </c>
      <c r="AO131" t="s">
        <v>225</v>
      </c>
      <c r="AP131" t="s">
        <v>225</v>
      </c>
      <c r="AQ131" t="s">
        <v>225</v>
      </c>
      <c r="AR131" t="s">
        <v>225</v>
      </c>
      <c r="AS131" t="s">
        <v>225</v>
      </c>
      <c r="AT131" t="s">
        <v>225</v>
      </c>
      <c r="AU131" t="s">
        <v>225</v>
      </c>
      <c r="AV131" t="s">
        <v>225</v>
      </c>
      <c r="AW131" t="s">
        <v>225</v>
      </c>
      <c r="AX131" t="s">
        <v>225</v>
      </c>
      <c r="AY131" t="s">
        <v>225</v>
      </c>
      <c r="AZ131" t="s">
        <v>225</v>
      </c>
      <c r="BA131" t="s">
        <v>225</v>
      </c>
      <c r="BB131" t="s">
        <v>225</v>
      </c>
      <c r="BC131" t="s">
        <v>225</v>
      </c>
      <c r="BD131" t="s">
        <v>225</v>
      </c>
      <c r="BE131" t="s">
        <v>225</v>
      </c>
      <c r="BF131" t="s">
        <v>225</v>
      </c>
      <c r="BG131" t="s">
        <v>225</v>
      </c>
      <c r="BH131" t="s">
        <v>225</v>
      </c>
      <c r="BI131" t="s">
        <v>225</v>
      </c>
      <c r="BJ131" t="s">
        <v>225</v>
      </c>
      <c r="BK131" t="s">
        <v>225</v>
      </c>
      <c r="BL131" t="s">
        <v>205</v>
      </c>
      <c r="BM131" t="s">
        <v>1012</v>
      </c>
      <c r="BN131" t="s">
        <v>888</v>
      </c>
      <c r="BO131" t="s">
        <v>883</v>
      </c>
      <c r="BQ131" t="s">
        <v>1455</v>
      </c>
      <c r="BR131" s="5">
        <v>1</v>
      </c>
      <c r="BS131" s="5">
        <v>0</v>
      </c>
      <c r="BT131" s="5">
        <v>0</v>
      </c>
      <c r="BU131" s="5">
        <f>(BS131/8+BT131/4)*39</f>
        <v>0</v>
      </c>
      <c r="BV131" s="5">
        <v>0</v>
      </c>
      <c r="BW131" s="5">
        <v>1</v>
      </c>
      <c r="BX131" s="5">
        <v>0</v>
      </c>
      <c r="BY131" s="5">
        <v>0</v>
      </c>
      <c r="BZ131" s="5">
        <v>0</v>
      </c>
      <c r="CA131" s="5">
        <v>0</v>
      </c>
      <c r="CB131" s="5">
        <v>0</v>
      </c>
      <c r="CC131" s="5">
        <f>(BV131+BW131/2+BX131/8+BY131/16+BZ131/4+CA131/32)*39</f>
        <v>19.5</v>
      </c>
      <c r="CD131" s="5">
        <v>0</v>
      </c>
      <c r="CE131" s="5">
        <v>0</v>
      </c>
      <c r="CF131" s="5">
        <v>1</v>
      </c>
      <c r="CG131" s="5">
        <v>0</v>
      </c>
      <c r="CH131" s="5">
        <v>1</v>
      </c>
      <c r="CI131" s="5">
        <v>0</v>
      </c>
      <c r="CJ131" s="5">
        <v>0</v>
      </c>
      <c r="CK131" s="5">
        <v>0</v>
      </c>
      <c r="CL131" s="5">
        <f>(CD131+CE131/2+CF131/8+CG131/16+CH131/4+CJ131/32+CK131/16)*39</f>
        <v>14.625</v>
      </c>
      <c r="CM131" s="5">
        <v>0</v>
      </c>
      <c r="CN131" s="5">
        <v>0</v>
      </c>
      <c r="CO131" s="5">
        <v>0</v>
      </c>
      <c r="CP131" s="5">
        <v>0</v>
      </c>
      <c r="CQ131" s="5">
        <v>0</v>
      </c>
      <c r="CR131" t="s">
        <v>902</v>
      </c>
      <c r="CS131">
        <f>4/12</f>
        <v>0.33333333333333331</v>
      </c>
      <c r="CT131">
        <v>0</v>
      </c>
      <c r="CU131">
        <v>0</v>
      </c>
      <c r="CV131">
        <v>0</v>
      </c>
      <c r="CW131">
        <f>CS131+CT131/24+CU131/48+CV131/48</f>
        <v>0.33333333333333331</v>
      </c>
      <c r="CX131">
        <v>0</v>
      </c>
      <c r="CZ131" t="s">
        <v>210</v>
      </c>
      <c r="DA131" t="s">
        <v>589</v>
      </c>
      <c r="DB131" t="s">
        <v>405</v>
      </c>
      <c r="DC131" t="s">
        <v>262</v>
      </c>
      <c r="DD131" t="s">
        <v>693</v>
      </c>
      <c r="DE131" t="s">
        <v>926</v>
      </c>
      <c r="DF131" t="s">
        <v>927</v>
      </c>
      <c r="DG131" t="s">
        <v>928</v>
      </c>
      <c r="DJ131" t="s">
        <v>483</v>
      </c>
    </row>
    <row r="132" spans="1:114" x14ac:dyDescent="0.25">
      <c r="A132">
        <v>481</v>
      </c>
      <c r="C132" t="s">
        <v>39</v>
      </c>
      <c r="D132" t="s">
        <v>511</v>
      </c>
      <c r="E132" t="s">
        <v>549</v>
      </c>
      <c r="H132" t="s">
        <v>512</v>
      </c>
      <c r="I132" t="s">
        <v>219</v>
      </c>
      <c r="J132">
        <v>1343</v>
      </c>
      <c r="K132" t="s">
        <v>249</v>
      </c>
      <c r="L132">
        <v>9</v>
      </c>
      <c r="M132" s="7" t="s">
        <v>338</v>
      </c>
      <c r="P132" t="s">
        <v>225</v>
      </c>
      <c r="Q132" t="s">
        <v>225</v>
      </c>
      <c r="R132" t="s">
        <v>225</v>
      </c>
      <c r="S132" t="s">
        <v>225</v>
      </c>
      <c r="T132" t="s">
        <v>225</v>
      </c>
      <c r="V132" t="s">
        <v>204</v>
      </c>
      <c r="W132" t="s">
        <v>225</v>
      </c>
      <c r="X132" t="s">
        <v>225</v>
      </c>
      <c r="Y132" s="5" t="s">
        <v>515</v>
      </c>
      <c r="Z132" t="s">
        <v>225</v>
      </c>
      <c r="AA132" t="s">
        <v>225</v>
      </c>
      <c r="AB132" t="s">
        <v>225</v>
      </c>
      <c r="AC132" t="s">
        <v>225</v>
      </c>
      <c r="AD132" t="s">
        <v>225</v>
      </c>
      <c r="AE132" t="s">
        <v>225</v>
      </c>
      <c r="AF132" t="s">
        <v>225</v>
      </c>
      <c r="AG132" t="s">
        <v>225</v>
      </c>
      <c r="AH132" t="s">
        <v>225</v>
      </c>
      <c r="AI132" t="s">
        <v>225</v>
      </c>
      <c r="AJ132" t="s">
        <v>225</v>
      </c>
      <c r="AK132" t="s">
        <v>225</v>
      </c>
      <c r="AL132" t="s">
        <v>225</v>
      </c>
      <c r="AM132" t="s">
        <v>225</v>
      </c>
      <c r="AN132" t="s">
        <v>225</v>
      </c>
      <c r="AO132" t="s">
        <v>225</v>
      </c>
      <c r="AP132" t="s">
        <v>225</v>
      </c>
      <c r="AQ132" t="s">
        <v>225</v>
      </c>
      <c r="AR132" t="s">
        <v>225</v>
      </c>
      <c r="AS132" t="s">
        <v>225</v>
      </c>
      <c r="AT132" t="s">
        <v>225</v>
      </c>
      <c r="AU132" t="s">
        <v>225</v>
      </c>
      <c r="AV132" t="s">
        <v>225</v>
      </c>
      <c r="AW132" t="s">
        <v>225</v>
      </c>
      <c r="AX132" t="s">
        <v>225</v>
      </c>
      <c r="AY132" t="s">
        <v>225</v>
      </c>
      <c r="AZ132" t="s">
        <v>225</v>
      </c>
      <c r="BA132" t="s">
        <v>225</v>
      </c>
      <c r="BB132" t="s">
        <v>225</v>
      </c>
      <c r="BC132" t="s">
        <v>225</v>
      </c>
      <c r="BD132" t="s">
        <v>225</v>
      </c>
      <c r="BE132" t="s">
        <v>225</v>
      </c>
      <c r="BF132" t="s">
        <v>225</v>
      </c>
      <c r="BG132" t="s">
        <v>225</v>
      </c>
      <c r="BH132" t="s">
        <v>225</v>
      </c>
      <c r="BI132" t="s">
        <v>225</v>
      </c>
      <c r="BJ132" t="s">
        <v>225</v>
      </c>
      <c r="BK132" t="s">
        <v>225</v>
      </c>
      <c r="BL132" t="s">
        <v>225</v>
      </c>
      <c r="BP132" t="s">
        <v>513</v>
      </c>
      <c r="BR132">
        <v>0</v>
      </c>
      <c r="BS132">
        <v>0</v>
      </c>
      <c r="BT132">
        <v>0</v>
      </c>
      <c r="BU132" s="5">
        <f>(BS132/8+BT132/4)*39</f>
        <v>0</v>
      </c>
      <c r="BV132">
        <v>0</v>
      </c>
      <c r="BW132" s="8">
        <v>0</v>
      </c>
      <c r="BX132" s="8">
        <v>0</v>
      </c>
      <c r="BY132">
        <v>0</v>
      </c>
      <c r="BZ132">
        <v>0</v>
      </c>
      <c r="CA132">
        <v>0</v>
      </c>
      <c r="CB132">
        <v>0</v>
      </c>
      <c r="CC132" s="5">
        <f>(BV132+BW132/2+BX132/8+BY132/16+BZ132/4+CA132/32)*39</f>
        <v>0</v>
      </c>
      <c r="CD132" s="8">
        <v>0</v>
      </c>
      <c r="CE132" s="8">
        <v>0</v>
      </c>
      <c r="CF132" s="8">
        <v>0</v>
      </c>
      <c r="CG132">
        <v>0</v>
      </c>
      <c r="CH132" s="8">
        <v>0</v>
      </c>
      <c r="CI132">
        <v>0</v>
      </c>
      <c r="CJ132">
        <v>0</v>
      </c>
      <c r="CK132" s="8">
        <v>0</v>
      </c>
      <c r="CL132" s="5">
        <f>(CD132+CE132/2+CF132/8+CG132/16+CH132/4+CJ132/32+CK132/16)*39</f>
        <v>0</v>
      </c>
      <c r="CM132">
        <v>0</v>
      </c>
      <c r="CN132">
        <v>0</v>
      </c>
      <c r="CO132">
        <v>0</v>
      </c>
      <c r="CP132" s="8">
        <v>0</v>
      </c>
      <c r="CQ132" s="8">
        <v>0</v>
      </c>
      <c r="CS132">
        <f>8/12</f>
        <v>0.66666666666666663</v>
      </c>
      <c r="CT132">
        <v>0</v>
      </c>
      <c r="CU132">
        <v>0</v>
      </c>
      <c r="CV132" s="8">
        <v>0</v>
      </c>
      <c r="CW132">
        <f>CS132+CT132/24+CU132/48+CV132/48</f>
        <v>0.66666666666666663</v>
      </c>
      <c r="CX132">
        <v>0</v>
      </c>
      <c r="CZ132" t="s">
        <v>210</v>
      </c>
      <c r="DB132" t="s">
        <v>405</v>
      </c>
      <c r="DC132" t="s">
        <v>262</v>
      </c>
      <c r="DD132" t="s">
        <v>693</v>
      </c>
      <c r="DE132" t="s">
        <v>508</v>
      </c>
      <c r="DF132" t="s">
        <v>509</v>
      </c>
      <c r="DG132" t="s">
        <v>510</v>
      </c>
    </row>
    <row r="133" spans="1:114" x14ac:dyDescent="0.25">
      <c r="A133">
        <v>1431</v>
      </c>
      <c r="C133" s="22" t="s">
        <v>7</v>
      </c>
      <c r="D133" t="s">
        <v>2255</v>
      </c>
      <c r="E133" t="s">
        <v>2257</v>
      </c>
      <c r="G133" t="s">
        <v>2256</v>
      </c>
      <c r="I133" t="s">
        <v>219</v>
      </c>
      <c r="J133">
        <v>1343</v>
      </c>
      <c r="K133" t="s">
        <v>817</v>
      </c>
      <c r="L133">
        <v>12</v>
      </c>
      <c r="M133" s="7" t="s">
        <v>338</v>
      </c>
      <c r="N133" s="8" t="s">
        <v>1612</v>
      </c>
      <c r="V133" t="s">
        <v>1463</v>
      </c>
      <c r="W133">
        <v>1</v>
      </c>
      <c r="X133" t="s">
        <v>205</v>
      </c>
      <c r="Y133" t="s">
        <v>205</v>
      </c>
      <c r="Z133" t="s">
        <v>225</v>
      </c>
      <c r="AA133" t="s">
        <v>205</v>
      </c>
      <c r="AB133" t="s">
        <v>205</v>
      </c>
      <c r="AC133" t="s">
        <v>205</v>
      </c>
      <c r="AD133" t="s">
        <v>205</v>
      </c>
      <c r="AE133" t="s">
        <v>225</v>
      </c>
      <c r="AF133" t="s">
        <v>225</v>
      </c>
      <c r="AG133" t="s">
        <v>225</v>
      </c>
      <c r="AH133" t="s">
        <v>205</v>
      </c>
      <c r="AI133" t="s">
        <v>225</v>
      </c>
      <c r="AJ133" t="s">
        <v>225</v>
      </c>
      <c r="AK133">
        <v>1</v>
      </c>
      <c r="AL133" t="s">
        <v>225</v>
      </c>
      <c r="AM133" t="s">
        <v>225</v>
      </c>
      <c r="AN133" t="s">
        <v>225</v>
      </c>
      <c r="AO133" t="s">
        <v>225</v>
      </c>
      <c r="AP133" t="s">
        <v>225</v>
      </c>
      <c r="AQ133" t="s">
        <v>225</v>
      </c>
      <c r="AR133" t="s">
        <v>225</v>
      </c>
      <c r="AS133" t="s">
        <v>225</v>
      </c>
      <c r="AT133" t="s">
        <v>225</v>
      </c>
      <c r="AU133" t="s">
        <v>225</v>
      </c>
      <c r="AV133" t="s">
        <v>225</v>
      </c>
      <c r="AW133" t="s">
        <v>225</v>
      </c>
      <c r="AX133" t="s">
        <v>225</v>
      </c>
      <c r="AY133" t="s">
        <v>225</v>
      </c>
      <c r="AZ133" t="s">
        <v>225</v>
      </c>
      <c r="BA133" t="s">
        <v>225</v>
      </c>
      <c r="BB133" t="s">
        <v>225</v>
      </c>
      <c r="BC133" t="s">
        <v>225</v>
      </c>
      <c r="BD133" t="s">
        <v>225</v>
      </c>
      <c r="BE133" t="s">
        <v>225</v>
      </c>
      <c r="BF133" t="s">
        <v>225</v>
      </c>
      <c r="BG133" t="s">
        <v>225</v>
      </c>
      <c r="BH133" t="s">
        <v>225</v>
      </c>
      <c r="BI133" t="s">
        <v>225</v>
      </c>
      <c r="BJ133" t="s">
        <v>225</v>
      </c>
      <c r="BK133" t="s">
        <v>225</v>
      </c>
      <c r="BL133" t="s">
        <v>205</v>
      </c>
      <c r="BN133" s="5" t="s">
        <v>2259</v>
      </c>
      <c r="BQ133" t="s">
        <v>539</v>
      </c>
      <c r="BR133" s="5">
        <f>1/2</f>
        <v>0.5</v>
      </c>
      <c r="BS133" s="5">
        <v>0</v>
      </c>
      <c r="BT133" s="5">
        <v>0</v>
      </c>
      <c r="BU133" s="5">
        <f>(BS133/8+BT133/4)*39</f>
        <v>0</v>
      </c>
      <c r="BV133" s="5">
        <v>0</v>
      </c>
      <c r="BW133" s="5">
        <v>0</v>
      </c>
      <c r="BX133" s="5">
        <v>0</v>
      </c>
      <c r="BY133" s="5">
        <v>0</v>
      </c>
      <c r="BZ133" s="5">
        <v>0</v>
      </c>
      <c r="CA133" s="5">
        <v>0</v>
      </c>
      <c r="CB133" s="5">
        <v>0</v>
      </c>
      <c r="CC133" s="5">
        <f>(BV133+BW133/2+BX133/8+BY133/16+BZ133/4+CA133/32)*39</f>
        <v>0</v>
      </c>
      <c r="CD133" s="5">
        <v>0</v>
      </c>
      <c r="CE133" s="5">
        <v>0</v>
      </c>
      <c r="CF133" s="5">
        <v>0</v>
      </c>
      <c r="CG133" s="5">
        <v>6</v>
      </c>
      <c r="CH133" s="5">
        <v>0</v>
      </c>
      <c r="CI133" s="5">
        <v>0</v>
      </c>
      <c r="CJ133" s="5">
        <v>1</v>
      </c>
      <c r="CK133" s="5">
        <v>0</v>
      </c>
      <c r="CL133" s="5">
        <f>(CD133+CE133/2+CF133/8+CG133/16+CH133/4+CJ133/32+CK133/16)*39</f>
        <v>15.84375</v>
      </c>
      <c r="CM133" s="5">
        <v>0</v>
      </c>
      <c r="CN133" s="5">
        <v>0</v>
      </c>
      <c r="CO133" s="5">
        <v>0</v>
      </c>
      <c r="CP133" s="5">
        <v>0</v>
      </c>
      <c r="CQ133" s="5">
        <v>0</v>
      </c>
      <c r="CS133">
        <v>5</v>
      </c>
      <c r="CT133">
        <v>0</v>
      </c>
      <c r="CU133">
        <v>0</v>
      </c>
      <c r="CV133">
        <v>0</v>
      </c>
      <c r="CW133">
        <f>CS133+CT133/24+CU133/48+CV133/48</f>
        <v>5</v>
      </c>
      <c r="CX133">
        <v>0</v>
      </c>
      <c r="CZ133" t="s">
        <v>210</v>
      </c>
      <c r="DA133" t="s">
        <v>1644</v>
      </c>
      <c r="DB133" t="s">
        <v>563</v>
      </c>
      <c r="DC133" t="s">
        <v>262</v>
      </c>
      <c r="DD133" t="s">
        <v>693</v>
      </c>
      <c r="DE133" t="s">
        <v>1571</v>
      </c>
      <c r="DF133" t="s">
        <v>2261</v>
      </c>
      <c r="DJ133" t="s">
        <v>2260</v>
      </c>
    </row>
    <row r="134" spans="1:114" x14ac:dyDescent="0.25">
      <c r="A134">
        <v>1321</v>
      </c>
      <c r="B134" t="s">
        <v>1708</v>
      </c>
      <c r="C134" s="22" t="s">
        <v>1802</v>
      </c>
      <c r="D134" t="s">
        <v>1804</v>
      </c>
      <c r="E134" t="s">
        <v>1791</v>
      </c>
      <c r="F134" t="s">
        <v>3930</v>
      </c>
      <c r="G134" t="s">
        <v>3919</v>
      </c>
      <c r="I134" t="s">
        <v>3219</v>
      </c>
      <c r="J134">
        <v>1343</v>
      </c>
      <c r="K134" t="s">
        <v>1097</v>
      </c>
      <c r="L134">
        <v>12</v>
      </c>
      <c r="M134" s="7" t="s">
        <v>338</v>
      </c>
      <c r="N134" s="8" t="s">
        <v>1612</v>
      </c>
      <c r="V134" t="s">
        <v>1463</v>
      </c>
      <c r="W134">
        <v>1</v>
      </c>
      <c r="X134" t="s">
        <v>205</v>
      </c>
      <c r="Y134" t="s">
        <v>205</v>
      </c>
      <c r="Z134" t="s">
        <v>205</v>
      </c>
      <c r="AA134" t="s">
        <v>205</v>
      </c>
      <c r="AB134" t="s">
        <v>205</v>
      </c>
      <c r="AC134" t="s">
        <v>205</v>
      </c>
      <c r="AD134" t="s">
        <v>205</v>
      </c>
      <c r="AE134" t="s">
        <v>225</v>
      </c>
      <c r="AF134" t="s">
        <v>225</v>
      </c>
      <c r="AG134" t="s">
        <v>225</v>
      </c>
      <c r="AH134" t="s">
        <v>225</v>
      </c>
      <c r="AI134" t="s">
        <v>225</v>
      </c>
      <c r="AJ134" t="s">
        <v>225</v>
      </c>
      <c r="AK134">
        <v>1</v>
      </c>
      <c r="AL134" t="s">
        <v>225</v>
      </c>
      <c r="AM134" t="s">
        <v>225</v>
      </c>
      <c r="AN134" t="s">
        <v>225</v>
      </c>
      <c r="AO134" t="s">
        <v>225</v>
      </c>
      <c r="AP134" t="s">
        <v>225</v>
      </c>
      <c r="AQ134" t="s">
        <v>225</v>
      </c>
      <c r="AR134" t="s">
        <v>225</v>
      </c>
      <c r="AS134" t="s">
        <v>225</v>
      </c>
      <c r="AT134" t="s">
        <v>225</v>
      </c>
      <c r="AU134" t="s">
        <v>225</v>
      </c>
      <c r="AV134" t="s">
        <v>225</v>
      </c>
      <c r="AW134" t="s">
        <v>225</v>
      </c>
      <c r="AX134" t="s">
        <v>225</v>
      </c>
      <c r="AY134" t="s">
        <v>225</v>
      </c>
      <c r="AZ134" t="s">
        <v>225</v>
      </c>
      <c r="BA134" t="s">
        <v>225</v>
      </c>
      <c r="BB134" t="s">
        <v>225</v>
      </c>
      <c r="BC134" t="s">
        <v>225</v>
      </c>
      <c r="BD134" t="s">
        <v>225</v>
      </c>
      <c r="BE134" t="s">
        <v>225</v>
      </c>
      <c r="BF134" t="s">
        <v>225</v>
      </c>
      <c r="BG134" t="s">
        <v>225</v>
      </c>
      <c r="BH134" t="s">
        <v>225</v>
      </c>
      <c r="BI134" t="s">
        <v>225</v>
      </c>
      <c r="BJ134" t="s">
        <v>225</v>
      </c>
      <c r="BK134" t="s">
        <v>225</v>
      </c>
      <c r="BL134" t="s">
        <v>205</v>
      </c>
      <c r="BN134" s="5" t="s">
        <v>1797</v>
      </c>
      <c r="BQ134" t="s">
        <v>3568</v>
      </c>
      <c r="BR134" s="5">
        <v>1</v>
      </c>
      <c r="BS134" s="5">
        <v>0</v>
      </c>
      <c r="BT134" s="5">
        <v>0</v>
      </c>
      <c r="BU134" s="5">
        <f>(BS134/8+BT134/4)*39</f>
        <v>0</v>
      </c>
      <c r="BV134" s="5">
        <v>0</v>
      </c>
      <c r="BW134" s="5">
        <v>0</v>
      </c>
      <c r="BX134" s="5">
        <v>0</v>
      </c>
      <c r="BY134" s="5">
        <v>0</v>
      </c>
      <c r="BZ134" s="5">
        <v>0</v>
      </c>
      <c r="CA134" s="5">
        <f>2</f>
        <v>2</v>
      </c>
      <c r="CB134" s="5">
        <f>12</f>
        <v>12</v>
      </c>
      <c r="CC134" s="5">
        <f>(BV134+BX134/8+BY134/32+CA134/32+CB134/4)*39</f>
        <v>119.4375</v>
      </c>
      <c r="CD134" s="5">
        <v>0</v>
      </c>
      <c r="CE134" s="5">
        <v>0</v>
      </c>
      <c r="CF134" s="5">
        <v>0</v>
      </c>
      <c r="CG134" s="5">
        <v>0</v>
      </c>
      <c r="CH134" s="5">
        <v>0</v>
      </c>
      <c r="CI134" s="5">
        <v>0</v>
      </c>
      <c r="CJ134" s="5">
        <v>0</v>
      </c>
      <c r="CK134" s="5">
        <v>0</v>
      </c>
      <c r="CL134" s="5">
        <f>(CD134+CF134/8+CG134/32+CI134/4+CJ134/32)*39</f>
        <v>0</v>
      </c>
      <c r="CM134" s="5">
        <v>0</v>
      </c>
      <c r="CN134" s="5">
        <v>0</v>
      </c>
      <c r="CO134" s="5">
        <v>0</v>
      </c>
      <c r="CP134" s="5">
        <v>0</v>
      </c>
      <c r="CQ134" s="5">
        <v>0</v>
      </c>
      <c r="CS134">
        <v>1</v>
      </c>
      <c r="CT134">
        <v>0</v>
      </c>
      <c r="CU134">
        <v>0</v>
      </c>
      <c r="CV134">
        <v>0</v>
      </c>
      <c r="CW134">
        <f>CS134+CT134/24+CU134/48+CV134/48</f>
        <v>1</v>
      </c>
      <c r="CX134">
        <v>0</v>
      </c>
      <c r="CZ134" t="s">
        <v>210</v>
      </c>
      <c r="DA134" t="s">
        <v>1644</v>
      </c>
      <c r="DB134" t="s">
        <v>563</v>
      </c>
      <c r="DC134" t="s">
        <v>1805</v>
      </c>
      <c r="DD134" t="s">
        <v>693</v>
      </c>
      <c r="DE134" s="22" t="s">
        <v>1801</v>
      </c>
      <c r="DJ134" t="s">
        <v>1800</v>
      </c>
    </row>
    <row r="135" spans="1:114" x14ac:dyDescent="0.25">
      <c r="A135">
        <v>1322</v>
      </c>
      <c r="C135" t="s">
        <v>465</v>
      </c>
      <c r="D135" t="s">
        <v>1804</v>
      </c>
      <c r="E135" t="s">
        <v>1791</v>
      </c>
      <c r="G135" t="s">
        <v>1803</v>
      </c>
      <c r="I135" t="s">
        <v>219</v>
      </c>
      <c r="J135">
        <v>1343</v>
      </c>
      <c r="K135" t="s">
        <v>1097</v>
      </c>
      <c r="L135">
        <v>12</v>
      </c>
      <c r="M135" s="7" t="s">
        <v>338</v>
      </c>
      <c r="N135" s="8" t="s">
        <v>1612</v>
      </c>
      <c r="V135" t="s">
        <v>1463</v>
      </c>
      <c r="W135">
        <v>1</v>
      </c>
      <c r="X135" t="s">
        <v>205</v>
      </c>
      <c r="Y135" t="s">
        <v>205</v>
      </c>
      <c r="Z135" t="s">
        <v>205</v>
      </c>
      <c r="AA135" t="s">
        <v>205</v>
      </c>
      <c r="AB135" t="s">
        <v>205</v>
      </c>
      <c r="AC135" t="s">
        <v>1807</v>
      </c>
      <c r="AD135" t="s">
        <v>225</v>
      </c>
      <c r="AE135" t="s">
        <v>205</v>
      </c>
      <c r="AF135" t="s">
        <v>205</v>
      </c>
      <c r="AG135" t="s">
        <v>225</v>
      </c>
      <c r="AH135" t="s">
        <v>225</v>
      </c>
      <c r="AI135" t="s">
        <v>225</v>
      </c>
      <c r="AJ135" t="s">
        <v>225</v>
      </c>
      <c r="AK135">
        <v>1</v>
      </c>
      <c r="AL135" t="s">
        <v>225</v>
      </c>
      <c r="AM135" t="s">
        <v>225</v>
      </c>
      <c r="AN135" t="s">
        <v>225</v>
      </c>
      <c r="AO135" t="s">
        <v>225</v>
      </c>
      <c r="AP135" t="s">
        <v>225</v>
      </c>
      <c r="AQ135" t="s">
        <v>225</v>
      </c>
      <c r="AR135" t="s">
        <v>225</v>
      </c>
      <c r="AS135" t="s">
        <v>225</v>
      </c>
      <c r="AT135" t="s">
        <v>225</v>
      </c>
      <c r="AU135" t="s">
        <v>225</v>
      </c>
      <c r="AV135" t="s">
        <v>225</v>
      </c>
      <c r="AW135" t="s">
        <v>225</v>
      </c>
      <c r="AX135" t="s">
        <v>225</v>
      </c>
      <c r="AY135" t="s">
        <v>225</v>
      </c>
      <c r="AZ135" t="s">
        <v>205</v>
      </c>
      <c r="BA135" t="s">
        <v>225</v>
      </c>
      <c r="BB135" t="s">
        <v>225</v>
      </c>
      <c r="BC135" t="s">
        <v>225</v>
      </c>
      <c r="BD135" t="s">
        <v>225</v>
      </c>
      <c r="BE135" t="s">
        <v>225</v>
      </c>
      <c r="BF135" t="s">
        <v>225</v>
      </c>
      <c r="BG135" t="s">
        <v>225</v>
      </c>
      <c r="BH135" t="s">
        <v>225</v>
      </c>
      <c r="BI135" t="s">
        <v>225</v>
      </c>
      <c r="BJ135" t="s">
        <v>225</v>
      </c>
      <c r="BK135" t="s">
        <v>225</v>
      </c>
      <c r="BL135" t="s">
        <v>205</v>
      </c>
      <c r="BN135" s="5" t="s">
        <v>1806</v>
      </c>
      <c r="BQ135" t="s">
        <v>3568</v>
      </c>
      <c r="BR135" s="5">
        <f>1/2</f>
        <v>0.5</v>
      </c>
      <c r="BS135" s="5">
        <v>0</v>
      </c>
      <c r="BT135" s="5">
        <v>0</v>
      </c>
      <c r="BU135" s="5">
        <f>(BS135/8+BT135/4)*39</f>
        <v>0</v>
      </c>
      <c r="BV135" s="5">
        <v>0</v>
      </c>
      <c r="BW135" s="5">
        <v>0</v>
      </c>
      <c r="BX135" s="5">
        <v>0</v>
      </c>
      <c r="BY135" s="5">
        <v>0</v>
      </c>
      <c r="BZ135" s="5">
        <v>0</v>
      </c>
      <c r="CA135" s="5">
        <v>1</v>
      </c>
      <c r="CB135" s="5">
        <v>6</v>
      </c>
      <c r="CC135" s="5">
        <f>(BV135+BX135/8+BY135/32+CA135/32+CB135/4)*39</f>
        <v>59.71875</v>
      </c>
      <c r="CD135" s="5">
        <v>0</v>
      </c>
      <c r="CE135" s="5">
        <v>0</v>
      </c>
      <c r="CF135" s="5">
        <v>0</v>
      </c>
      <c r="CG135" s="5">
        <v>0</v>
      </c>
      <c r="CH135" s="5">
        <v>0</v>
      </c>
      <c r="CI135" s="5">
        <v>0</v>
      </c>
      <c r="CJ135" s="5">
        <v>0</v>
      </c>
      <c r="CK135" s="5">
        <v>0</v>
      </c>
      <c r="CL135" s="5">
        <f>(CD135+CF135/8+CG135/32+CI135/4+CJ135/32)*39</f>
        <v>0</v>
      </c>
      <c r="CM135" s="5">
        <v>0</v>
      </c>
      <c r="CN135" s="5">
        <v>0</v>
      </c>
      <c r="CO135" s="5">
        <v>0</v>
      </c>
      <c r="CP135" s="5">
        <v>0</v>
      </c>
      <c r="CQ135" s="5">
        <v>0</v>
      </c>
      <c r="CS135">
        <v>5</v>
      </c>
      <c r="CT135">
        <v>0</v>
      </c>
      <c r="CU135">
        <v>0</v>
      </c>
      <c r="CV135">
        <v>0</v>
      </c>
      <c r="CW135">
        <f>CS135+CT135/24+CU135/48+CV135/48</f>
        <v>5</v>
      </c>
      <c r="CX135">
        <v>0</v>
      </c>
      <c r="CZ135" t="s">
        <v>210</v>
      </c>
      <c r="DA135" t="s">
        <v>1644</v>
      </c>
      <c r="DB135" t="s">
        <v>563</v>
      </c>
      <c r="DC135" t="s">
        <v>1805</v>
      </c>
      <c r="DD135" t="s">
        <v>693</v>
      </c>
      <c r="DE135" s="22" t="s">
        <v>1801</v>
      </c>
    </row>
    <row r="136" spans="1:114" x14ac:dyDescent="0.25">
      <c r="A136">
        <v>1501</v>
      </c>
      <c r="C136" t="s">
        <v>2524</v>
      </c>
      <c r="D136" t="s">
        <v>2525</v>
      </c>
      <c r="E136" t="s">
        <v>2522</v>
      </c>
      <c r="G136" t="s">
        <v>2523</v>
      </c>
      <c r="H136" t="s">
        <v>2526</v>
      </c>
      <c r="I136" t="s">
        <v>3219</v>
      </c>
      <c r="J136" s="16">
        <v>1342</v>
      </c>
      <c r="K136" s="16" t="s">
        <v>817</v>
      </c>
      <c r="L136" t="s">
        <v>15</v>
      </c>
      <c r="M136" s="7" t="s">
        <v>338</v>
      </c>
      <c r="V136" t="s">
        <v>1463</v>
      </c>
      <c r="W136" t="s">
        <v>225</v>
      </c>
      <c r="X136" t="s">
        <v>225</v>
      </c>
      <c r="Y136">
        <f>1/2</f>
        <v>0.5</v>
      </c>
      <c r="Z136" t="s">
        <v>225</v>
      </c>
      <c r="AA136" t="s">
        <v>225</v>
      </c>
      <c r="AB136" t="s">
        <v>225</v>
      </c>
      <c r="AC136" t="s">
        <v>225</v>
      </c>
      <c r="AD136" t="s">
        <v>225</v>
      </c>
      <c r="AE136" t="s">
        <v>225</v>
      </c>
      <c r="AF136" t="s">
        <v>225</v>
      </c>
      <c r="AG136" t="s">
        <v>225</v>
      </c>
      <c r="AH136" t="s">
        <v>225</v>
      </c>
      <c r="AI136" t="s">
        <v>225</v>
      </c>
      <c r="AJ136" t="s">
        <v>225</v>
      </c>
      <c r="AK136" t="s">
        <v>225</v>
      </c>
      <c r="AL136" t="s">
        <v>225</v>
      </c>
      <c r="AM136" t="s">
        <v>225</v>
      </c>
      <c r="AN136" t="s">
        <v>225</v>
      </c>
      <c r="AO136" t="s">
        <v>225</v>
      </c>
      <c r="AP136" t="s">
        <v>225</v>
      </c>
      <c r="AQ136" t="s">
        <v>225</v>
      </c>
      <c r="AR136" t="s">
        <v>225</v>
      </c>
      <c r="AS136" t="s">
        <v>225</v>
      </c>
      <c r="AT136" t="s">
        <v>225</v>
      </c>
      <c r="AU136" t="s">
        <v>225</v>
      </c>
      <c r="AV136" t="s">
        <v>225</v>
      </c>
      <c r="AW136" t="s">
        <v>225</v>
      </c>
      <c r="AX136" t="s">
        <v>225</v>
      </c>
      <c r="AY136" t="s">
        <v>225</v>
      </c>
      <c r="AZ136" t="s">
        <v>225</v>
      </c>
      <c r="BA136" t="s">
        <v>225</v>
      </c>
      <c r="BB136" t="s">
        <v>225</v>
      </c>
      <c r="BC136" t="s">
        <v>225</v>
      </c>
      <c r="BD136" t="s">
        <v>225</v>
      </c>
      <c r="BE136" t="s">
        <v>225</v>
      </c>
      <c r="BF136" t="s">
        <v>225</v>
      </c>
      <c r="BG136" t="s">
        <v>225</v>
      </c>
      <c r="BH136" t="s">
        <v>225</v>
      </c>
      <c r="BI136" t="s">
        <v>225</v>
      </c>
      <c r="BJ136" t="s">
        <v>225</v>
      </c>
      <c r="BK136" t="s">
        <v>225</v>
      </c>
      <c r="BL136" t="s">
        <v>225</v>
      </c>
      <c r="BN136" t="s">
        <v>2532</v>
      </c>
      <c r="BP136" t="s">
        <v>762</v>
      </c>
      <c r="BR136" s="5">
        <v>0</v>
      </c>
      <c r="BS136" s="5">
        <v>0</v>
      </c>
      <c r="BT136" s="5">
        <v>0</v>
      </c>
      <c r="BU136" s="5">
        <f>(BS136/8+BT136/4)*39</f>
        <v>0</v>
      </c>
      <c r="BV136" s="5">
        <v>0</v>
      </c>
      <c r="BW136" s="5">
        <v>0</v>
      </c>
      <c r="BX136" s="5">
        <v>0</v>
      </c>
      <c r="BY136" s="5">
        <v>0</v>
      </c>
      <c r="BZ136" s="5">
        <v>0</v>
      </c>
      <c r="CA136" s="5">
        <v>0</v>
      </c>
      <c r="CB136" s="5">
        <v>0</v>
      </c>
      <c r="CC136" s="5">
        <f>(BV136+BW136/2+BX136/8+BY136/16+BZ136/4+CA136/32)*39</f>
        <v>0</v>
      </c>
      <c r="CD136" s="5">
        <v>0</v>
      </c>
      <c r="CE136" s="5">
        <v>0</v>
      </c>
      <c r="CF136" s="5">
        <v>0</v>
      </c>
      <c r="CG136" s="5">
        <v>0</v>
      </c>
      <c r="CH136" s="5">
        <v>0</v>
      </c>
      <c r="CI136" s="5">
        <v>0</v>
      </c>
      <c r="CJ136" s="5">
        <v>0</v>
      </c>
      <c r="CK136" s="5">
        <v>0</v>
      </c>
      <c r="CL136" s="5">
        <f>(CD136+CE136/2+CF136/8+CG136/16+CH136/4+CJ136/32+CK136/16)*39</f>
        <v>0</v>
      </c>
      <c r="CM136" s="5">
        <v>0</v>
      </c>
      <c r="CN136" s="5">
        <v>0</v>
      </c>
      <c r="CO136" s="5">
        <v>0</v>
      </c>
      <c r="CP136" s="5">
        <v>0</v>
      </c>
      <c r="CQ136" s="5">
        <v>0</v>
      </c>
      <c r="CR136" t="s">
        <v>2532</v>
      </c>
      <c r="CS136">
        <f>13/12</f>
        <v>1.0833333333333333</v>
      </c>
      <c r="CT136">
        <v>1</v>
      </c>
      <c r="CU136">
        <v>0</v>
      </c>
      <c r="CV136">
        <v>0</v>
      </c>
      <c r="CW136">
        <f>CS136+CT136/24+CU136/48+CV136/48</f>
        <v>1.125</v>
      </c>
      <c r="CX136">
        <v>0</v>
      </c>
      <c r="CZ136" t="s">
        <v>210</v>
      </c>
      <c r="DC136" s="26" t="s">
        <v>1569</v>
      </c>
      <c r="DD136" t="s">
        <v>693</v>
      </c>
      <c r="DE136" t="s">
        <v>752</v>
      </c>
      <c r="DF136" t="s">
        <v>1230</v>
      </c>
      <c r="DG136" t="s">
        <v>2541</v>
      </c>
    </row>
    <row r="137" spans="1:114" x14ac:dyDescent="0.25">
      <c r="A137">
        <v>1441</v>
      </c>
      <c r="B137" t="s">
        <v>1708</v>
      </c>
      <c r="C137" t="s">
        <v>1850</v>
      </c>
      <c r="D137" t="s">
        <v>2277</v>
      </c>
      <c r="E137" t="s">
        <v>2278</v>
      </c>
      <c r="F137" t="s">
        <v>3923</v>
      </c>
      <c r="I137" t="s">
        <v>219</v>
      </c>
      <c r="J137" s="5">
        <v>1345</v>
      </c>
      <c r="K137" t="s">
        <v>1038</v>
      </c>
      <c r="L137">
        <v>23</v>
      </c>
      <c r="M137" s="8" t="s">
        <v>338</v>
      </c>
      <c r="W137" t="s">
        <v>225</v>
      </c>
      <c r="X137" t="s">
        <v>225</v>
      </c>
      <c r="Y137" t="s">
        <v>225</v>
      </c>
      <c r="Z137" t="s">
        <v>225</v>
      </c>
      <c r="AA137" t="s">
        <v>225</v>
      </c>
      <c r="AB137" t="s">
        <v>225</v>
      </c>
      <c r="AC137" t="s">
        <v>225</v>
      </c>
      <c r="AD137" t="s">
        <v>225</v>
      </c>
      <c r="AE137" t="s">
        <v>225</v>
      </c>
      <c r="AF137" t="s">
        <v>225</v>
      </c>
      <c r="AG137" t="s">
        <v>225</v>
      </c>
      <c r="AH137" t="s">
        <v>225</v>
      </c>
      <c r="AI137" t="s">
        <v>225</v>
      </c>
      <c r="AJ137" t="s">
        <v>225</v>
      </c>
      <c r="AK137" t="s">
        <v>225</v>
      </c>
      <c r="AL137" t="s">
        <v>225</v>
      </c>
      <c r="AM137" t="s">
        <v>225</v>
      </c>
      <c r="AN137" t="s">
        <v>225</v>
      </c>
      <c r="AO137" t="s">
        <v>225</v>
      </c>
      <c r="AP137" t="s">
        <v>225</v>
      </c>
      <c r="AQ137" t="s">
        <v>225</v>
      </c>
      <c r="AR137" t="s">
        <v>225</v>
      </c>
      <c r="AS137" t="s">
        <v>225</v>
      </c>
      <c r="AT137" t="s">
        <v>225</v>
      </c>
      <c r="AU137" t="s">
        <v>225</v>
      </c>
      <c r="AV137" t="s">
        <v>225</v>
      </c>
      <c r="AW137" t="s">
        <v>225</v>
      </c>
      <c r="AX137" t="s">
        <v>225</v>
      </c>
      <c r="AY137" t="s">
        <v>225</v>
      </c>
      <c r="AZ137" t="s">
        <v>225</v>
      </c>
      <c r="BA137" t="s">
        <v>225</v>
      </c>
      <c r="BB137" t="s">
        <v>225</v>
      </c>
      <c r="BC137" t="s">
        <v>225</v>
      </c>
      <c r="BD137" t="s">
        <v>225</v>
      </c>
      <c r="BE137" t="s">
        <v>225</v>
      </c>
      <c r="BF137" t="s">
        <v>225</v>
      </c>
      <c r="BG137" t="s">
        <v>225</v>
      </c>
      <c r="BH137" t="s">
        <v>225</v>
      </c>
      <c r="BI137" t="s">
        <v>225</v>
      </c>
      <c r="BJ137" t="s">
        <v>225</v>
      </c>
      <c r="BK137" t="s">
        <v>225</v>
      </c>
      <c r="BL137" t="s">
        <v>225</v>
      </c>
      <c r="BN137" s="5" t="s">
        <v>2279</v>
      </c>
      <c r="BR137" s="5">
        <v>0</v>
      </c>
      <c r="BS137" s="5">
        <v>0</v>
      </c>
      <c r="BT137" s="5">
        <v>0</v>
      </c>
      <c r="BU137" s="5">
        <f>(BS137/8+BT137/4)*39</f>
        <v>0</v>
      </c>
      <c r="BV137" s="5">
        <v>0</v>
      </c>
      <c r="BW137" s="5">
        <v>0</v>
      </c>
      <c r="BX137" s="5">
        <v>0</v>
      </c>
      <c r="BY137" s="5">
        <v>0</v>
      </c>
      <c r="BZ137" s="5">
        <v>0</v>
      </c>
      <c r="CA137" s="5">
        <v>0</v>
      </c>
      <c r="CB137" s="5">
        <v>0</v>
      </c>
      <c r="CC137" s="5">
        <f>(BV137+BW137/2+BX137/8+BY137/16+BZ137/4+CA137/32)*39</f>
        <v>0</v>
      </c>
      <c r="CD137" s="5">
        <v>0</v>
      </c>
      <c r="CE137" s="5">
        <v>0</v>
      </c>
      <c r="CF137" s="5">
        <v>0</v>
      </c>
      <c r="CG137" s="5">
        <v>0</v>
      </c>
      <c r="CH137" s="5">
        <v>0</v>
      </c>
      <c r="CI137" s="5">
        <v>0</v>
      </c>
      <c r="CJ137" s="5">
        <v>0</v>
      </c>
      <c r="CK137" s="5">
        <v>0</v>
      </c>
      <c r="CL137" s="5">
        <f>(CD137+CE137/2+CF137/8+CG137/16+CH137/4+CJ137/32+CK137/16)*39</f>
        <v>0</v>
      </c>
      <c r="CM137" s="5">
        <v>0</v>
      </c>
      <c r="CN137" s="5">
        <v>0</v>
      </c>
      <c r="CO137" s="5">
        <v>0</v>
      </c>
      <c r="CP137" s="5">
        <v>0</v>
      </c>
      <c r="CQ137" s="5">
        <v>0</v>
      </c>
      <c r="CR137" t="s">
        <v>2300</v>
      </c>
      <c r="CS137">
        <f>16/12</f>
        <v>1.3333333333333333</v>
      </c>
      <c r="CT137">
        <v>0</v>
      </c>
      <c r="CU137">
        <v>0</v>
      </c>
      <c r="CV137">
        <v>0</v>
      </c>
      <c r="CW137">
        <f>CS137+CT137/24+CU137/48+CV137/48</f>
        <v>1.3333333333333333</v>
      </c>
      <c r="CX137">
        <v>0</v>
      </c>
      <c r="CZ137" t="s">
        <v>210</v>
      </c>
      <c r="DC137" t="s">
        <v>2281</v>
      </c>
      <c r="DD137" t="s">
        <v>693</v>
      </c>
      <c r="DE137" t="s">
        <v>2282</v>
      </c>
      <c r="DF137" t="s">
        <v>2283</v>
      </c>
      <c r="DG137" t="s">
        <v>2284</v>
      </c>
    </row>
    <row r="138" spans="1:114" x14ac:dyDescent="0.25">
      <c r="A138">
        <v>1442</v>
      </c>
      <c r="C138" t="s">
        <v>165</v>
      </c>
      <c r="D138" t="s">
        <v>2277</v>
      </c>
      <c r="E138" t="s">
        <v>2278</v>
      </c>
      <c r="F138" t="s">
        <v>2285</v>
      </c>
      <c r="I138" t="s">
        <v>219</v>
      </c>
      <c r="J138" s="5">
        <v>1345</v>
      </c>
      <c r="K138" t="s">
        <v>1038</v>
      </c>
      <c r="L138">
        <v>23</v>
      </c>
      <c r="M138" s="7" t="s">
        <v>338</v>
      </c>
      <c r="W138" t="s">
        <v>205</v>
      </c>
      <c r="X138" t="s">
        <v>225</v>
      </c>
      <c r="Y138" t="s">
        <v>225</v>
      </c>
      <c r="Z138" t="s">
        <v>225</v>
      </c>
      <c r="AA138" t="s">
        <v>225</v>
      </c>
      <c r="AB138" t="s">
        <v>225</v>
      </c>
      <c r="AC138" t="s">
        <v>225</v>
      </c>
      <c r="AD138" t="s">
        <v>225</v>
      </c>
      <c r="AE138" t="s">
        <v>225</v>
      </c>
      <c r="AF138" t="s">
        <v>225</v>
      </c>
      <c r="AG138" t="s">
        <v>225</v>
      </c>
      <c r="AH138" t="s">
        <v>225</v>
      </c>
      <c r="AI138" t="s">
        <v>225</v>
      </c>
      <c r="AJ138" t="s">
        <v>225</v>
      </c>
      <c r="AK138" t="s">
        <v>225</v>
      </c>
      <c r="AL138" t="s">
        <v>225</v>
      </c>
      <c r="AM138" t="s">
        <v>225</v>
      </c>
      <c r="AN138" t="s">
        <v>225</v>
      </c>
      <c r="AO138" t="s">
        <v>225</v>
      </c>
      <c r="AP138" t="s">
        <v>225</v>
      </c>
      <c r="AQ138" t="s">
        <v>225</v>
      </c>
      <c r="AR138" t="s">
        <v>225</v>
      </c>
      <c r="AS138" t="s">
        <v>225</v>
      </c>
      <c r="AT138" t="s">
        <v>225</v>
      </c>
      <c r="AU138" t="s">
        <v>225</v>
      </c>
      <c r="AV138" t="s">
        <v>225</v>
      </c>
      <c r="AW138" t="s">
        <v>225</v>
      </c>
      <c r="AX138" t="s">
        <v>225</v>
      </c>
      <c r="AY138" t="s">
        <v>225</v>
      </c>
      <c r="AZ138" t="s">
        <v>225</v>
      </c>
      <c r="BA138" t="s">
        <v>225</v>
      </c>
      <c r="BB138" t="s">
        <v>225</v>
      </c>
      <c r="BC138" t="s">
        <v>225</v>
      </c>
      <c r="BD138" t="s">
        <v>225</v>
      </c>
      <c r="BE138" t="s">
        <v>225</v>
      </c>
      <c r="BF138" t="s">
        <v>225</v>
      </c>
      <c r="BG138" t="s">
        <v>225</v>
      </c>
      <c r="BH138" t="s">
        <v>225</v>
      </c>
      <c r="BI138" t="s">
        <v>225</v>
      </c>
      <c r="BJ138" t="s">
        <v>225</v>
      </c>
      <c r="BK138" t="s">
        <v>225</v>
      </c>
      <c r="BL138" t="s">
        <v>205</v>
      </c>
      <c r="BN138" s="5"/>
      <c r="BR138" s="5">
        <v>0</v>
      </c>
      <c r="BS138" s="5">
        <v>0</v>
      </c>
      <c r="BT138" s="5">
        <v>0</v>
      </c>
      <c r="BU138" s="5">
        <f>(BS138/8+BT138/4)*39</f>
        <v>0</v>
      </c>
      <c r="BV138" s="5">
        <v>0</v>
      </c>
      <c r="BW138" s="5">
        <v>0</v>
      </c>
      <c r="BX138" s="5">
        <v>0</v>
      </c>
      <c r="BY138" s="5">
        <v>0</v>
      </c>
      <c r="BZ138" s="5">
        <v>0</v>
      </c>
      <c r="CA138" s="5">
        <v>0</v>
      </c>
      <c r="CB138" s="5">
        <v>0</v>
      </c>
      <c r="CC138" s="5">
        <f>(BV138+BW138/2+BX138/8+BY138/16+BZ138/4+CA138/32)*39</f>
        <v>0</v>
      </c>
      <c r="CD138" s="5">
        <v>0</v>
      </c>
      <c r="CE138" s="5">
        <v>0</v>
      </c>
      <c r="CF138" s="5">
        <v>0</v>
      </c>
      <c r="CG138" s="5">
        <v>0</v>
      </c>
      <c r="CH138" s="5">
        <v>0</v>
      </c>
      <c r="CI138" s="5">
        <v>0</v>
      </c>
      <c r="CJ138" s="5">
        <v>0</v>
      </c>
      <c r="CK138" s="5">
        <v>0</v>
      </c>
      <c r="CL138" s="5">
        <f>(CD138+CE138/2+CF138/8+CG138/16+CH138/4+CJ138/32+CK138/16)*39</f>
        <v>0</v>
      </c>
      <c r="CM138" s="5">
        <v>0</v>
      </c>
      <c r="CN138" s="5">
        <v>0</v>
      </c>
      <c r="CO138" s="5">
        <v>0</v>
      </c>
      <c r="CP138" s="5">
        <v>0</v>
      </c>
      <c r="CQ138" s="5">
        <v>0</v>
      </c>
      <c r="CR138" t="s">
        <v>2299</v>
      </c>
      <c r="CS138">
        <f>16/12</f>
        <v>1.3333333333333333</v>
      </c>
      <c r="CT138">
        <v>0</v>
      </c>
      <c r="CU138">
        <v>0</v>
      </c>
      <c r="CV138">
        <v>0</v>
      </c>
      <c r="CW138">
        <f>CS138+CT138/24+CU138/48+CV138/48</f>
        <v>1.3333333333333333</v>
      </c>
      <c r="CX138">
        <v>0</v>
      </c>
      <c r="CZ138" t="s">
        <v>210</v>
      </c>
      <c r="DC138" t="s">
        <v>2281</v>
      </c>
      <c r="DD138" t="s">
        <v>693</v>
      </c>
      <c r="DE138" t="s">
        <v>2282</v>
      </c>
      <c r="DF138" t="s">
        <v>2283</v>
      </c>
      <c r="DG138" t="s">
        <v>2284</v>
      </c>
    </row>
    <row r="139" spans="1:114" x14ac:dyDescent="0.25">
      <c r="A139">
        <v>1311</v>
      </c>
      <c r="C139" t="s">
        <v>23</v>
      </c>
      <c r="D139" t="s">
        <v>1755</v>
      </c>
      <c r="E139" t="s">
        <v>1755</v>
      </c>
      <c r="G139" t="s">
        <v>1756</v>
      </c>
      <c r="I139" t="s">
        <v>219</v>
      </c>
      <c r="J139">
        <v>1343</v>
      </c>
      <c r="K139" t="s">
        <v>1097</v>
      </c>
      <c r="L139">
        <v>10</v>
      </c>
      <c r="M139" s="7" t="s">
        <v>338</v>
      </c>
      <c r="V139" t="s">
        <v>1463</v>
      </c>
      <c r="W139">
        <v>1</v>
      </c>
      <c r="X139">
        <v>1</v>
      </c>
      <c r="Y139" t="s">
        <v>225</v>
      </c>
      <c r="Z139" t="s">
        <v>225</v>
      </c>
      <c r="AA139" t="s">
        <v>225</v>
      </c>
      <c r="AB139" t="s">
        <v>225</v>
      </c>
      <c r="AC139" t="s">
        <v>225</v>
      </c>
      <c r="AD139" t="s">
        <v>225</v>
      </c>
      <c r="AE139" t="s">
        <v>225</v>
      </c>
      <c r="AF139" t="s">
        <v>225</v>
      </c>
      <c r="AG139" t="s">
        <v>225</v>
      </c>
      <c r="AH139" t="s">
        <v>225</v>
      </c>
      <c r="AI139" t="s">
        <v>225</v>
      </c>
      <c r="AJ139" t="s">
        <v>225</v>
      </c>
      <c r="AK139" t="s">
        <v>225</v>
      </c>
      <c r="AL139" t="s">
        <v>225</v>
      </c>
      <c r="AM139" t="s">
        <v>225</v>
      </c>
      <c r="AN139" t="s">
        <v>225</v>
      </c>
      <c r="AO139" t="s">
        <v>225</v>
      </c>
      <c r="AP139" t="s">
        <v>225</v>
      </c>
      <c r="AQ139" t="s">
        <v>225</v>
      </c>
      <c r="AR139" t="s">
        <v>225</v>
      </c>
      <c r="AS139" t="s">
        <v>225</v>
      </c>
      <c r="AT139" t="s">
        <v>225</v>
      </c>
      <c r="AU139" t="s">
        <v>225</v>
      </c>
      <c r="AV139" t="s">
        <v>225</v>
      </c>
      <c r="AW139" t="s">
        <v>225</v>
      </c>
      <c r="AX139" t="s">
        <v>225</v>
      </c>
      <c r="AY139" t="s">
        <v>225</v>
      </c>
      <c r="AZ139" t="s">
        <v>225</v>
      </c>
      <c r="BA139" t="s">
        <v>225</v>
      </c>
      <c r="BB139" t="s">
        <v>225</v>
      </c>
      <c r="BC139" t="s">
        <v>225</v>
      </c>
      <c r="BD139" t="s">
        <v>225</v>
      </c>
      <c r="BE139" t="s">
        <v>225</v>
      </c>
      <c r="BF139" t="s">
        <v>225</v>
      </c>
      <c r="BG139" t="s">
        <v>225</v>
      </c>
      <c r="BH139" t="s">
        <v>225</v>
      </c>
      <c r="BI139" t="s">
        <v>225</v>
      </c>
      <c r="BJ139" t="s">
        <v>225</v>
      </c>
      <c r="BK139" t="s">
        <v>225</v>
      </c>
      <c r="BL139" t="s">
        <v>225</v>
      </c>
      <c r="BN139" s="5" t="s">
        <v>1711</v>
      </c>
      <c r="BR139" s="5">
        <v>0</v>
      </c>
      <c r="BS139" s="5">
        <v>0</v>
      </c>
      <c r="BT139" s="5">
        <v>0</v>
      </c>
      <c r="BU139" s="5">
        <f>(BS139/8+BT139/4)*39</f>
        <v>0</v>
      </c>
      <c r="BV139" s="5">
        <v>0</v>
      </c>
      <c r="BW139" s="5">
        <v>0</v>
      </c>
      <c r="BX139" s="5">
        <v>0</v>
      </c>
      <c r="BY139" s="5">
        <v>0</v>
      </c>
      <c r="BZ139" s="5">
        <v>0</v>
      </c>
      <c r="CA139" s="5">
        <v>0</v>
      </c>
      <c r="CB139" s="5">
        <v>0</v>
      </c>
      <c r="CC139" s="5">
        <f>(BV139+BW139/2+BX139/8+BY139/16+BZ139/4+CA139/32)*39</f>
        <v>0</v>
      </c>
      <c r="CD139" s="5">
        <v>0</v>
      </c>
      <c r="CE139" s="5">
        <v>0</v>
      </c>
      <c r="CF139" s="5">
        <v>0</v>
      </c>
      <c r="CG139" s="5">
        <v>0</v>
      </c>
      <c r="CH139" s="5">
        <v>0</v>
      </c>
      <c r="CI139" s="5">
        <v>0</v>
      </c>
      <c r="CJ139" s="5">
        <v>0</v>
      </c>
      <c r="CK139" s="5">
        <v>0</v>
      </c>
      <c r="CL139" s="5">
        <f>(CD139+CE139/2+CF139/8+CG139/16+CH139/4+CJ139/32+CK139/16)*39</f>
        <v>0</v>
      </c>
      <c r="CM139" s="5">
        <v>0</v>
      </c>
      <c r="CN139" s="5">
        <v>0</v>
      </c>
      <c r="CO139" s="5">
        <v>0</v>
      </c>
      <c r="CP139" s="5">
        <v>0</v>
      </c>
      <c r="CQ139" s="5">
        <v>0</v>
      </c>
      <c r="CS139">
        <f>3/12</f>
        <v>0.25</v>
      </c>
      <c r="CT139">
        <v>0</v>
      </c>
      <c r="CU139">
        <v>0</v>
      </c>
      <c r="CV139">
        <v>0</v>
      </c>
      <c r="CW139">
        <f>CS139+CT139/24+CU139/48+CV139/48</f>
        <v>0.25</v>
      </c>
      <c r="CX139">
        <v>0</v>
      </c>
      <c r="CZ139" t="s">
        <v>210</v>
      </c>
      <c r="DC139" t="s">
        <v>1645</v>
      </c>
      <c r="DD139" t="s">
        <v>693</v>
      </c>
      <c r="DE139" t="s">
        <v>1761</v>
      </c>
      <c r="DF139" t="s">
        <v>1760</v>
      </c>
      <c r="DG139" t="s">
        <v>1712</v>
      </c>
    </row>
    <row r="140" spans="1:114" x14ac:dyDescent="0.25">
      <c r="A140">
        <v>1302</v>
      </c>
      <c r="C140" t="s">
        <v>13</v>
      </c>
      <c r="D140" t="s">
        <v>1716</v>
      </c>
      <c r="E140" t="s">
        <v>1755</v>
      </c>
      <c r="G140" t="s">
        <v>1714</v>
      </c>
      <c r="I140" t="s">
        <v>219</v>
      </c>
      <c r="J140">
        <v>1343</v>
      </c>
      <c r="K140" t="s">
        <v>1097</v>
      </c>
      <c r="L140">
        <v>10</v>
      </c>
      <c r="M140" s="7" t="s">
        <v>338</v>
      </c>
      <c r="N140" t="s">
        <v>986</v>
      </c>
      <c r="V140" t="s">
        <v>1463</v>
      </c>
      <c r="W140">
        <v>1</v>
      </c>
      <c r="X140">
        <v>1</v>
      </c>
      <c r="Y140" t="s">
        <v>225</v>
      </c>
      <c r="Z140" t="s">
        <v>225</v>
      </c>
      <c r="AA140" t="s">
        <v>225</v>
      </c>
      <c r="AB140" t="s">
        <v>225</v>
      </c>
      <c r="AC140" t="s">
        <v>225</v>
      </c>
      <c r="AD140" t="s">
        <v>225</v>
      </c>
      <c r="AE140" t="s">
        <v>225</v>
      </c>
      <c r="AF140" t="s">
        <v>225</v>
      </c>
      <c r="AG140" t="s">
        <v>225</v>
      </c>
      <c r="AH140" t="s">
        <v>225</v>
      </c>
      <c r="AI140" t="s">
        <v>225</v>
      </c>
      <c r="AJ140" t="s">
        <v>225</v>
      </c>
      <c r="AK140" t="s">
        <v>225</v>
      </c>
      <c r="AL140" t="s">
        <v>225</v>
      </c>
      <c r="AM140" t="s">
        <v>225</v>
      </c>
      <c r="AN140" t="s">
        <v>225</v>
      </c>
      <c r="AO140" t="s">
        <v>225</v>
      </c>
      <c r="AP140" t="s">
        <v>225</v>
      </c>
      <c r="AQ140" t="s">
        <v>225</v>
      </c>
      <c r="AR140" t="s">
        <v>225</v>
      </c>
      <c r="AS140" t="s">
        <v>225</v>
      </c>
      <c r="AT140" t="s">
        <v>225</v>
      </c>
      <c r="AU140" t="s">
        <v>225</v>
      </c>
      <c r="AV140" t="s">
        <v>225</v>
      </c>
      <c r="AW140" t="s">
        <v>225</v>
      </c>
      <c r="AX140" t="s">
        <v>225</v>
      </c>
      <c r="AY140" t="s">
        <v>225</v>
      </c>
      <c r="AZ140" t="s">
        <v>225</v>
      </c>
      <c r="BA140" t="s">
        <v>225</v>
      </c>
      <c r="BB140" t="s">
        <v>225</v>
      </c>
      <c r="BC140" t="s">
        <v>225</v>
      </c>
      <c r="BD140" t="s">
        <v>225</v>
      </c>
      <c r="BE140" t="s">
        <v>225</v>
      </c>
      <c r="BF140" t="s">
        <v>225</v>
      </c>
      <c r="BG140" t="s">
        <v>225</v>
      </c>
      <c r="BH140" t="s">
        <v>225</v>
      </c>
      <c r="BI140" t="s">
        <v>225</v>
      </c>
      <c r="BJ140" t="s">
        <v>225</v>
      </c>
      <c r="BK140" t="s">
        <v>225</v>
      </c>
      <c r="BL140" t="s">
        <v>225</v>
      </c>
      <c r="BN140" s="5" t="s">
        <v>1711</v>
      </c>
      <c r="BR140" s="5">
        <v>0</v>
      </c>
      <c r="BS140" s="5">
        <v>0</v>
      </c>
      <c r="BT140" s="5">
        <v>0</v>
      </c>
      <c r="BU140" s="5">
        <f>(BS140/8+BT140/4)*39</f>
        <v>0</v>
      </c>
      <c r="BV140" s="5">
        <v>0</v>
      </c>
      <c r="BW140" s="5">
        <v>0</v>
      </c>
      <c r="BX140" s="5">
        <v>0</v>
      </c>
      <c r="BY140" s="5">
        <v>0</v>
      </c>
      <c r="BZ140" s="5">
        <v>0</v>
      </c>
      <c r="CA140" s="5">
        <v>0</v>
      </c>
      <c r="CB140" s="5">
        <v>0</v>
      </c>
      <c r="CC140" s="5">
        <f>(BV140+BW140/2+BX140/8+BY140/16+BZ140/4+CA140/32)*39</f>
        <v>0</v>
      </c>
      <c r="CD140" s="5">
        <v>0</v>
      </c>
      <c r="CE140" s="5">
        <v>0</v>
      </c>
      <c r="CF140" s="5">
        <v>0</v>
      </c>
      <c r="CG140" s="5">
        <v>0</v>
      </c>
      <c r="CH140" s="5">
        <v>0</v>
      </c>
      <c r="CI140" s="5">
        <v>0</v>
      </c>
      <c r="CJ140" s="5">
        <v>0</v>
      </c>
      <c r="CK140" s="5">
        <v>0</v>
      </c>
      <c r="CL140" s="5">
        <f>(CD140+CE140/2+CF140/8+CG140/16+CH140/4+CJ140/32+CK140/16)*39</f>
        <v>0</v>
      </c>
      <c r="CM140" s="5">
        <v>0</v>
      </c>
      <c r="CN140" s="5">
        <v>0</v>
      </c>
      <c r="CO140" s="5">
        <v>0</v>
      </c>
      <c r="CP140" s="5">
        <v>0</v>
      </c>
      <c r="CQ140" s="5">
        <v>0</v>
      </c>
      <c r="CS140">
        <f>1/12</f>
        <v>8.3333333333333329E-2</v>
      </c>
      <c r="CT140">
        <v>0</v>
      </c>
      <c r="CU140">
        <v>0</v>
      </c>
      <c r="CV140">
        <v>0</v>
      </c>
      <c r="CW140">
        <f>CS140+CT140/24+CU140/48+CV140/48</f>
        <v>8.3333333333333329E-2</v>
      </c>
      <c r="CX140">
        <v>0</v>
      </c>
      <c r="CZ140" t="s">
        <v>210</v>
      </c>
      <c r="DC140" t="s">
        <v>1645</v>
      </c>
      <c r="DD140" t="s">
        <v>693</v>
      </c>
      <c r="DE140" t="s">
        <v>263</v>
      </c>
      <c r="DF140" t="s">
        <v>1712</v>
      </c>
      <c r="DG140" t="s">
        <v>1713</v>
      </c>
    </row>
    <row r="141" spans="1:114" x14ac:dyDescent="0.25">
      <c r="A141">
        <v>471</v>
      </c>
      <c r="C141" t="s">
        <v>504</v>
      </c>
      <c r="D141" t="s">
        <v>93</v>
      </c>
      <c r="E141" t="s">
        <v>549</v>
      </c>
      <c r="H141" t="s">
        <v>505</v>
      </c>
      <c r="I141" t="s">
        <v>220</v>
      </c>
      <c r="J141">
        <v>1343</v>
      </c>
      <c r="K141" t="s">
        <v>249</v>
      </c>
      <c r="L141">
        <v>9</v>
      </c>
      <c r="M141" s="7" t="s">
        <v>338</v>
      </c>
      <c r="N141" t="s">
        <v>358</v>
      </c>
      <c r="O141" t="s">
        <v>201</v>
      </c>
      <c r="P141" t="s">
        <v>225</v>
      </c>
      <c r="Q141" t="s">
        <v>205</v>
      </c>
      <c r="R141" t="s">
        <v>205</v>
      </c>
      <c r="S141" t="s">
        <v>205</v>
      </c>
      <c r="T141" t="s">
        <v>225</v>
      </c>
      <c r="U141" t="s">
        <v>277</v>
      </c>
      <c r="V141" t="s">
        <v>204</v>
      </c>
      <c r="W141">
        <v>1</v>
      </c>
      <c r="X141" t="s">
        <v>205</v>
      </c>
      <c r="Y141" t="s">
        <v>205</v>
      </c>
      <c r="Z141" t="s">
        <v>205</v>
      </c>
      <c r="AA141" t="s">
        <v>205</v>
      </c>
      <c r="AB141" t="s">
        <v>225</v>
      </c>
      <c r="AC141" t="s">
        <v>205</v>
      </c>
      <c r="AD141" t="s">
        <v>225</v>
      </c>
      <c r="AE141" t="s">
        <v>205</v>
      </c>
      <c r="AF141" t="s">
        <v>225</v>
      </c>
      <c r="AG141" t="s">
        <v>225</v>
      </c>
      <c r="AH141" t="s">
        <v>225</v>
      </c>
      <c r="AI141" t="s">
        <v>225</v>
      </c>
      <c r="AJ141" t="s">
        <v>225</v>
      </c>
      <c r="AK141" t="s">
        <v>225</v>
      </c>
      <c r="AL141" t="s">
        <v>225</v>
      </c>
      <c r="AM141" t="s">
        <v>225</v>
      </c>
      <c r="AN141" t="s">
        <v>225</v>
      </c>
      <c r="AO141" t="s">
        <v>225</v>
      </c>
      <c r="AP141" t="s">
        <v>225</v>
      </c>
      <c r="AQ141" t="s">
        <v>225</v>
      </c>
      <c r="AR141" t="s">
        <v>225</v>
      </c>
      <c r="AS141" t="s">
        <v>225</v>
      </c>
      <c r="AT141" t="s">
        <v>225</v>
      </c>
      <c r="AU141" t="s">
        <v>225</v>
      </c>
      <c r="AV141" t="s">
        <v>225</v>
      </c>
      <c r="AW141" t="s">
        <v>225</v>
      </c>
      <c r="AX141" t="s">
        <v>225</v>
      </c>
      <c r="AY141" t="s">
        <v>225</v>
      </c>
      <c r="AZ141" t="s">
        <v>225</v>
      </c>
      <c r="BA141" t="s">
        <v>225</v>
      </c>
      <c r="BB141" t="s">
        <v>225</v>
      </c>
      <c r="BC141" t="s">
        <v>225</v>
      </c>
      <c r="BD141" t="s">
        <v>225</v>
      </c>
      <c r="BE141" t="s">
        <v>225</v>
      </c>
      <c r="BF141" t="s">
        <v>225</v>
      </c>
      <c r="BG141" t="s">
        <v>225</v>
      </c>
      <c r="BH141" t="s">
        <v>225</v>
      </c>
      <c r="BI141" t="s">
        <v>225</v>
      </c>
      <c r="BJ141" t="s">
        <v>225</v>
      </c>
      <c r="BK141" t="s">
        <v>225</v>
      </c>
      <c r="BL141" t="s">
        <v>205</v>
      </c>
      <c r="BN141" t="s">
        <v>502</v>
      </c>
      <c r="BO141" t="s">
        <v>507</v>
      </c>
      <c r="BP141" s="15" t="s">
        <v>506</v>
      </c>
      <c r="BQ141" t="s">
        <v>3561</v>
      </c>
      <c r="BR141">
        <v>0</v>
      </c>
      <c r="BS141">
        <v>0</v>
      </c>
      <c r="BT141">
        <v>0</v>
      </c>
      <c r="BU141" s="5">
        <f>(BS141/8+BT141/4)*39</f>
        <v>0</v>
      </c>
      <c r="BV141">
        <v>0</v>
      </c>
      <c r="BW141" s="5">
        <v>1</v>
      </c>
      <c r="BX141" s="8">
        <v>0</v>
      </c>
      <c r="BY141">
        <v>0</v>
      </c>
      <c r="BZ141">
        <v>0</v>
      </c>
      <c r="CA141">
        <v>0</v>
      </c>
      <c r="CB141">
        <v>0</v>
      </c>
      <c r="CC141" s="5">
        <f>(BV141+BW141/2+BX141/8+BY141/16+BZ141/4+CA141/32)*39</f>
        <v>19.5</v>
      </c>
      <c r="CD141">
        <v>0</v>
      </c>
      <c r="CE141">
        <v>0</v>
      </c>
      <c r="CF141">
        <f>1/3</f>
        <v>0.33333333333333331</v>
      </c>
      <c r="CG141">
        <v>0</v>
      </c>
      <c r="CH141">
        <v>1</v>
      </c>
      <c r="CI141">
        <v>0</v>
      </c>
      <c r="CJ141">
        <v>0</v>
      </c>
      <c r="CK141">
        <v>0</v>
      </c>
      <c r="CL141" s="5">
        <f>(CD141+CE141/2+CF141/8+CG141/16+CH141/4+CJ141/32+CK141/16)*39</f>
        <v>11.375</v>
      </c>
      <c r="CM141">
        <v>0</v>
      </c>
      <c r="CN141">
        <v>0</v>
      </c>
      <c r="CO141">
        <v>0</v>
      </c>
      <c r="CP141">
        <v>0</v>
      </c>
      <c r="CQ141">
        <v>0</v>
      </c>
      <c r="CS141">
        <f>3+4/12</f>
        <v>3.3333333333333335</v>
      </c>
      <c r="CT141">
        <v>0</v>
      </c>
      <c r="CU141">
        <v>0</v>
      </c>
      <c r="CV141">
        <v>0</v>
      </c>
      <c r="CW141">
        <f>CS141+CT141/24+CU141/48+CV141/48</f>
        <v>3.3333333333333335</v>
      </c>
      <c r="CX141">
        <v>0</v>
      </c>
      <c r="CY141" t="s">
        <v>248</v>
      </c>
      <c r="CZ141" t="s">
        <v>210</v>
      </c>
      <c r="DA141" t="s">
        <v>229</v>
      </c>
      <c r="DB141" t="s">
        <v>405</v>
      </c>
      <c r="DC141" t="s">
        <v>262</v>
      </c>
      <c r="DD141" t="s">
        <v>693</v>
      </c>
      <c r="DE141" t="s">
        <v>508</v>
      </c>
      <c r="DF141" t="s">
        <v>509</v>
      </c>
      <c r="DG141" t="s">
        <v>510</v>
      </c>
      <c r="DJ141" t="s">
        <v>483</v>
      </c>
    </row>
    <row r="142" spans="1:114" x14ac:dyDescent="0.25">
      <c r="A142">
        <v>771</v>
      </c>
      <c r="C142" t="s">
        <v>104</v>
      </c>
      <c r="D142" t="s">
        <v>191</v>
      </c>
      <c r="E142" t="s">
        <v>191</v>
      </c>
      <c r="I142" t="s">
        <v>219</v>
      </c>
      <c r="J142">
        <v>1343</v>
      </c>
      <c r="K142" t="s">
        <v>383</v>
      </c>
      <c r="L142">
        <v>14</v>
      </c>
      <c r="M142" s="7" t="s">
        <v>338</v>
      </c>
      <c r="N142" t="s">
        <v>236</v>
      </c>
      <c r="O142" t="s">
        <v>201</v>
      </c>
      <c r="P142" t="s">
        <v>225</v>
      </c>
      <c r="Q142" s="19" t="s">
        <v>205</v>
      </c>
      <c r="R142" t="s">
        <v>205</v>
      </c>
      <c r="S142" t="s">
        <v>205</v>
      </c>
      <c r="T142" t="s">
        <v>225</v>
      </c>
      <c r="U142" t="s">
        <v>277</v>
      </c>
      <c r="V142" t="s">
        <v>204</v>
      </c>
      <c r="W142">
        <v>1</v>
      </c>
      <c r="X142" t="s">
        <v>225</v>
      </c>
      <c r="Y142" t="s">
        <v>225</v>
      </c>
      <c r="Z142" t="s">
        <v>225</v>
      </c>
      <c r="AA142" t="s">
        <v>225</v>
      </c>
      <c r="AB142" t="s">
        <v>225</v>
      </c>
      <c r="AC142" t="s">
        <v>225</v>
      </c>
      <c r="AD142" t="s">
        <v>205</v>
      </c>
      <c r="AE142" t="s">
        <v>225</v>
      </c>
      <c r="AF142" t="s">
        <v>225</v>
      </c>
      <c r="AG142" t="s">
        <v>225</v>
      </c>
      <c r="AH142" t="s">
        <v>225</v>
      </c>
      <c r="AI142" t="s">
        <v>225</v>
      </c>
      <c r="AJ142" t="s">
        <v>225</v>
      </c>
      <c r="AK142" t="s">
        <v>225</v>
      </c>
      <c r="AL142" t="s">
        <v>225</v>
      </c>
      <c r="AM142" t="s">
        <v>225</v>
      </c>
      <c r="AN142" t="s">
        <v>225</v>
      </c>
      <c r="AO142" t="s">
        <v>225</v>
      </c>
      <c r="AP142" t="s">
        <v>225</v>
      </c>
      <c r="AQ142" t="s">
        <v>225</v>
      </c>
      <c r="AR142" t="s">
        <v>225</v>
      </c>
      <c r="AS142" t="s">
        <v>225</v>
      </c>
      <c r="AT142" t="s">
        <v>225</v>
      </c>
      <c r="AU142" t="s">
        <v>225</v>
      </c>
      <c r="AV142" t="s">
        <v>225</v>
      </c>
      <c r="AW142" t="s">
        <v>225</v>
      </c>
      <c r="AX142" t="s">
        <v>225</v>
      </c>
      <c r="AY142" t="s">
        <v>225</v>
      </c>
      <c r="AZ142" t="s">
        <v>225</v>
      </c>
      <c r="BA142" t="s">
        <v>225</v>
      </c>
      <c r="BB142" t="s">
        <v>225</v>
      </c>
      <c r="BC142" t="s">
        <v>225</v>
      </c>
      <c r="BD142" t="s">
        <v>225</v>
      </c>
      <c r="BE142" t="s">
        <v>225</v>
      </c>
      <c r="BF142" t="s">
        <v>225</v>
      </c>
      <c r="BG142" t="s">
        <v>225</v>
      </c>
      <c r="BH142" t="s">
        <v>225</v>
      </c>
      <c r="BI142" t="s">
        <v>225</v>
      </c>
      <c r="BJ142" t="s">
        <v>225</v>
      </c>
      <c r="BK142" t="s">
        <v>225</v>
      </c>
      <c r="BL142" t="s">
        <v>205</v>
      </c>
      <c r="BM142" t="s">
        <v>901</v>
      </c>
      <c r="BN142" t="s">
        <v>890</v>
      </c>
      <c r="BO142" t="s">
        <v>883</v>
      </c>
      <c r="BQ142" t="s">
        <v>1455</v>
      </c>
      <c r="BR142" s="5">
        <v>0</v>
      </c>
      <c r="BS142" s="5">
        <v>0</v>
      </c>
      <c r="BT142" s="5">
        <v>0</v>
      </c>
      <c r="BU142" s="5">
        <f>(BS142/8+BT142/4)*39</f>
        <v>0</v>
      </c>
      <c r="BV142" s="5">
        <v>0</v>
      </c>
      <c r="BW142" s="5">
        <v>1</v>
      </c>
      <c r="BX142" s="5">
        <v>1</v>
      </c>
      <c r="BY142" s="5">
        <v>0</v>
      </c>
      <c r="BZ142" s="5">
        <v>0</v>
      </c>
      <c r="CA142" s="5">
        <v>0</v>
      </c>
      <c r="CB142" s="5">
        <v>0</v>
      </c>
      <c r="CC142" s="5">
        <f>(BV142+BW142/2+BX142/8+BY142/16+BZ142/4+CA142/32)*39</f>
        <v>24.375</v>
      </c>
      <c r="CD142" s="5">
        <v>0</v>
      </c>
      <c r="CE142" s="5">
        <v>0</v>
      </c>
      <c r="CF142" s="5">
        <v>0</v>
      </c>
      <c r="CG142" s="5">
        <v>0</v>
      </c>
      <c r="CH142" s="5">
        <v>1</v>
      </c>
      <c r="CI142" s="5">
        <v>0</v>
      </c>
      <c r="CJ142" s="5">
        <v>0</v>
      </c>
      <c r="CK142" s="5">
        <v>0</v>
      </c>
      <c r="CL142" s="5">
        <f>(CD142+CE142/2+CF142/8+CG142/16+CH142/4+CJ142/32+CK142/16)*39</f>
        <v>9.75</v>
      </c>
      <c r="CM142" s="5">
        <v>0</v>
      </c>
      <c r="CN142" s="5">
        <v>0</v>
      </c>
      <c r="CO142" s="5">
        <v>0</v>
      </c>
      <c r="CP142" s="5">
        <v>0</v>
      </c>
      <c r="CQ142" s="5">
        <v>0</v>
      </c>
      <c r="CR142" t="s">
        <v>902</v>
      </c>
      <c r="CS142">
        <f>5/12</f>
        <v>0.41666666666666669</v>
      </c>
      <c r="CT142">
        <v>0</v>
      </c>
      <c r="CU142">
        <v>0</v>
      </c>
      <c r="CV142">
        <v>0</v>
      </c>
      <c r="CW142">
        <f>CS142+CT142/24+CU142/48+CV142/48</f>
        <v>0.41666666666666669</v>
      </c>
      <c r="CX142">
        <v>0</v>
      </c>
      <c r="CZ142" t="s">
        <v>210</v>
      </c>
      <c r="DB142" t="s">
        <v>748</v>
      </c>
      <c r="DC142" t="s">
        <v>262</v>
      </c>
      <c r="DD142" t="s">
        <v>693</v>
      </c>
      <c r="DE142" t="s">
        <v>926</v>
      </c>
      <c r="DF142" t="s">
        <v>927</v>
      </c>
      <c r="DG142" t="s">
        <v>928</v>
      </c>
      <c r="DJ142" t="s">
        <v>483</v>
      </c>
    </row>
    <row r="143" spans="1:114" x14ac:dyDescent="0.25">
      <c r="A143">
        <v>1812</v>
      </c>
      <c r="C143" t="s">
        <v>3360</v>
      </c>
      <c r="D143" t="s">
        <v>3361</v>
      </c>
      <c r="E143" t="s">
        <v>1810</v>
      </c>
      <c r="I143" t="s">
        <v>219</v>
      </c>
      <c r="J143" s="5">
        <v>1344</v>
      </c>
      <c r="K143" t="s">
        <v>265</v>
      </c>
      <c r="L143">
        <v>13</v>
      </c>
      <c r="M143" s="7" t="s">
        <v>338</v>
      </c>
      <c r="W143" t="s">
        <v>225</v>
      </c>
      <c r="X143" t="s">
        <v>225</v>
      </c>
      <c r="Y143" t="s">
        <v>225</v>
      </c>
      <c r="Z143" t="s">
        <v>225</v>
      </c>
      <c r="AA143" t="s">
        <v>205</v>
      </c>
      <c r="AB143" t="s">
        <v>225</v>
      </c>
      <c r="AC143" t="s">
        <v>225</v>
      </c>
      <c r="AD143" t="s">
        <v>225</v>
      </c>
      <c r="AE143" t="s">
        <v>225</v>
      </c>
      <c r="AF143" t="s">
        <v>225</v>
      </c>
      <c r="AG143" t="s">
        <v>225</v>
      </c>
      <c r="AH143" t="s">
        <v>225</v>
      </c>
      <c r="AI143" t="s">
        <v>225</v>
      </c>
      <c r="AJ143" t="s">
        <v>225</v>
      </c>
      <c r="AK143" t="s">
        <v>225</v>
      </c>
      <c r="AL143" t="s">
        <v>225</v>
      </c>
      <c r="AM143" t="s">
        <v>225</v>
      </c>
      <c r="AN143" t="s">
        <v>225</v>
      </c>
      <c r="AO143" t="s">
        <v>225</v>
      </c>
      <c r="AP143" t="s">
        <v>225</v>
      </c>
      <c r="AQ143" t="s">
        <v>225</v>
      </c>
      <c r="AR143" t="s">
        <v>225</v>
      </c>
      <c r="AS143" t="s">
        <v>225</v>
      </c>
      <c r="AT143" t="s">
        <v>225</v>
      </c>
      <c r="AU143" t="s">
        <v>225</v>
      </c>
      <c r="AV143" t="s">
        <v>225</v>
      </c>
      <c r="AW143" t="s">
        <v>225</v>
      </c>
      <c r="AX143" t="s">
        <v>225</v>
      </c>
      <c r="AY143" t="s">
        <v>225</v>
      </c>
      <c r="AZ143" t="s">
        <v>225</v>
      </c>
      <c r="BA143" t="s">
        <v>225</v>
      </c>
      <c r="BB143" t="s">
        <v>225</v>
      </c>
      <c r="BC143" t="s">
        <v>225</v>
      </c>
      <c r="BD143" t="s">
        <v>225</v>
      </c>
      <c r="BE143" t="s">
        <v>225</v>
      </c>
      <c r="BF143" t="s">
        <v>225</v>
      </c>
      <c r="BG143" t="s">
        <v>225</v>
      </c>
      <c r="BH143" t="s">
        <v>225</v>
      </c>
      <c r="BI143" t="s">
        <v>225</v>
      </c>
      <c r="BJ143" t="s">
        <v>225</v>
      </c>
      <c r="BK143" t="s">
        <v>225</v>
      </c>
      <c r="BL143" t="s">
        <v>225</v>
      </c>
      <c r="BN143" t="s">
        <v>3369</v>
      </c>
      <c r="BQ143" t="s">
        <v>539</v>
      </c>
      <c r="BR143" s="5">
        <v>0</v>
      </c>
      <c r="BS143" s="5">
        <v>0</v>
      </c>
      <c r="BT143" s="5">
        <v>0</v>
      </c>
      <c r="BU143" s="5">
        <f>(BS143/8+BT143/4)*39</f>
        <v>0</v>
      </c>
      <c r="BV143" s="5">
        <v>0</v>
      </c>
      <c r="BW143" s="5">
        <v>0</v>
      </c>
      <c r="BX143" s="5">
        <v>0</v>
      </c>
      <c r="BY143" s="5">
        <v>0</v>
      </c>
      <c r="BZ143" s="5">
        <v>0</v>
      </c>
      <c r="CA143" s="5">
        <v>0</v>
      </c>
      <c r="CB143" s="5">
        <v>0</v>
      </c>
      <c r="CC143" s="5">
        <f>(BV143+BW143/2+BX143/8+BY143/16+BZ143/4+CA143/32)*39</f>
        <v>0</v>
      </c>
      <c r="CD143" s="5">
        <v>0</v>
      </c>
      <c r="CE143" s="5">
        <v>0</v>
      </c>
      <c r="CF143" s="5">
        <f>1/2</f>
        <v>0.5</v>
      </c>
      <c r="CG143" s="5">
        <v>0</v>
      </c>
      <c r="CH143" s="5">
        <v>0</v>
      </c>
      <c r="CI143" s="5">
        <v>0</v>
      </c>
      <c r="CJ143" s="5">
        <v>0</v>
      </c>
      <c r="CK143" s="5">
        <v>0</v>
      </c>
      <c r="CL143" s="5">
        <f>(CD143+CE143/2+CF143/8+CG143/16+CH143/4+CJ143/32+CK143/16)*39</f>
        <v>2.4375</v>
      </c>
      <c r="CM143" s="5">
        <v>0</v>
      </c>
      <c r="CN143" s="5">
        <v>0</v>
      </c>
      <c r="CO143" s="5">
        <v>0</v>
      </c>
      <c r="CP143" s="5">
        <v>0</v>
      </c>
      <c r="CQ143" s="5">
        <v>0</v>
      </c>
      <c r="CR143" t="s">
        <v>3369</v>
      </c>
      <c r="CS143">
        <v>0</v>
      </c>
      <c r="CT143">
        <v>0</v>
      </c>
      <c r="CU143">
        <v>0</v>
      </c>
      <c r="CV143">
        <v>0</v>
      </c>
      <c r="CW143">
        <f>CS143+CT143/24+CU143/48+CV143/48</f>
        <v>0</v>
      </c>
      <c r="CX143">
        <v>0</v>
      </c>
      <c r="CZ143" t="s">
        <v>210</v>
      </c>
      <c r="DC143" t="s">
        <v>262</v>
      </c>
      <c r="DD143" t="s">
        <v>693</v>
      </c>
      <c r="DE143" t="s">
        <v>3370</v>
      </c>
      <c r="DF143" t="s">
        <v>3371</v>
      </c>
      <c r="DG143" t="s">
        <v>3372</v>
      </c>
    </row>
    <row r="144" spans="1:114" x14ac:dyDescent="0.25">
      <c r="A144">
        <v>311</v>
      </c>
      <c r="C144" t="s">
        <v>11</v>
      </c>
      <c r="D144" t="s">
        <v>342</v>
      </c>
      <c r="E144" t="s">
        <v>341</v>
      </c>
      <c r="I144" t="s">
        <v>219</v>
      </c>
      <c r="J144">
        <v>1343</v>
      </c>
      <c r="K144" t="s">
        <v>249</v>
      </c>
      <c r="L144">
        <v>2</v>
      </c>
      <c r="M144" s="7" t="s">
        <v>338</v>
      </c>
      <c r="N144" t="s">
        <v>236</v>
      </c>
      <c r="O144" t="s">
        <v>268</v>
      </c>
      <c r="P144" t="s">
        <v>225</v>
      </c>
      <c r="Q144" t="s">
        <v>205</v>
      </c>
      <c r="R144" t="s">
        <v>205</v>
      </c>
      <c r="S144" t="s">
        <v>205</v>
      </c>
      <c r="T144" t="s">
        <v>225</v>
      </c>
      <c r="U144" t="s">
        <v>277</v>
      </c>
      <c r="V144" t="s">
        <v>204</v>
      </c>
      <c r="W144" t="s">
        <v>205</v>
      </c>
      <c r="X144" t="s">
        <v>205</v>
      </c>
      <c r="Y144" t="s">
        <v>205</v>
      </c>
      <c r="Z144" t="s">
        <v>205</v>
      </c>
      <c r="AA144">
        <v>1</v>
      </c>
      <c r="AB144" t="s">
        <v>205</v>
      </c>
      <c r="AC144" t="s">
        <v>205</v>
      </c>
      <c r="AD144" t="s">
        <v>225</v>
      </c>
      <c r="AE144" t="s">
        <v>225</v>
      </c>
      <c r="AF144" t="s">
        <v>225</v>
      </c>
      <c r="AG144" t="s">
        <v>225</v>
      </c>
      <c r="AH144" t="s">
        <v>225</v>
      </c>
      <c r="AI144" t="s">
        <v>205</v>
      </c>
      <c r="AJ144" t="s">
        <v>205</v>
      </c>
      <c r="AK144" t="s">
        <v>225</v>
      </c>
      <c r="AL144" t="s">
        <v>225</v>
      </c>
      <c r="AM144" t="s">
        <v>225</v>
      </c>
      <c r="AN144" t="s">
        <v>225</v>
      </c>
      <c r="AO144" t="s">
        <v>225</v>
      </c>
      <c r="AP144" t="s">
        <v>225</v>
      </c>
      <c r="AQ144" t="s">
        <v>225</v>
      </c>
      <c r="AR144" t="s">
        <v>225</v>
      </c>
      <c r="AS144" t="s">
        <v>225</v>
      </c>
      <c r="AT144" t="s">
        <v>225</v>
      </c>
      <c r="AU144" t="s">
        <v>225</v>
      </c>
      <c r="AV144" t="s">
        <v>225</v>
      </c>
      <c r="AW144" t="s">
        <v>225</v>
      </c>
      <c r="AX144" t="s">
        <v>225</v>
      </c>
      <c r="AY144" t="s">
        <v>225</v>
      </c>
      <c r="AZ144" t="s">
        <v>225</v>
      </c>
      <c r="BA144" t="s">
        <v>225</v>
      </c>
      <c r="BB144" t="s">
        <v>225</v>
      </c>
      <c r="BC144" t="s">
        <v>225</v>
      </c>
      <c r="BD144" t="s">
        <v>225</v>
      </c>
      <c r="BE144" t="s">
        <v>225</v>
      </c>
      <c r="BF144" t="s">
        <v>225</v>
      </c>
      <c r="BG144" t="s">
        <v>225</v>
      </c>
      <c r="BH144" t="s">
        <v>225</v>
      </c>
      <c r="BI144" t="s">
        <v>225</v>
      </c>
      <c r="BJ144" t="s">
        <v>225</v>
      </c>
      <c r="BK144" t="s">
        <v>225</v>
      </c>
      <c r="BL144" t="s">
        <v>205</v>
      </c>
      <c r="BN144" s="8" t="s">
        <v>348</v>
      </c>
      <c r="BO144" t="s">
        <v>342</v>
      </c>
      <c r="BQ144" t="s">
        <v>3563</v>
      </c>
      <c r="BR144">
        <f>1/3</f>
        <v>0.33333333333333331</v>
      </c>
      <c r="BS144">
        <v>0</v>
      </c>
      <c r="BT144">
        <v>0</v>
      </c>
      <c r="BU144" s="5">
        <f>(BS144/8+BT144/4)*39</f>
        <v>0</v>
      </c>
      <c r="BV144">
        <v>0</v>
      </c>
      <c r="BW144">
        <v>0</v>
      </c>
      <c r="BX144">
        <v>0</v>
      </c>
      <c r="BY144">
        <v>0</v>
      </c>
      <c r="BZ144">
        <v>1</v>
      </c>
      <c r="CA144">
        <v>0</v>
      </c>
      <c r="CB144">
        <v>0</v>
      </c>
      <c r="CC144" s="5">
        <f>(BV144+BW144/2+BX144/8+BY144/16+BZ144/4+CA144/32)*39</f>
        <v>9.75</v>
      </c>
      <c r="CD144">
        <v>0</v>
      </c>
      <c r="CE144">
        <v>0</v>
      </c>
      <c r="CF144">
        <f>1/3</f>
        <v>0.33333333333333331</v>
      </c>
      <c r="CG144">
        <v>0</v>
      </c>
      <c r="CH144">
        <v>1</v>
      </c>
      <c r="CI144">
        <v>0</v>
      </c>
      <c r="CJ144">
        <v>0</v>
      </c>
      <c r="CK144">
        <v>0</v>
      </c>
      <c r="CL144" s="5">
        <f>(CD144+CE144/2+CF144/8+CG144/16+CH144/4+CJ144/32+CK144/16)*39</f>
        <v>11.375</v>
      </c>
      <c r="CM144">
        <v>0</v>
      </c>
      <c r="CN144">
        <v>0</v>
      </c>
      <c r="CO144">
        <v>0</v>
      </c>
      <c r="CP144">
        <v>0</v>
      </c>
      <c r="CQ144">
        <v>0.5</v>
      </c>
      <c r="CR144" t="s">
        <v>368</v>
      </c>
      <c r="CS144">
        <f>23/12</f>
        <v>1.9166666666666667</v>
      </c>
      <c r="CT144" s="11">
        <v>1</v>
      </c>
      <c r="CU144" s="11">
        <v>0</v>
      </c>
      <c r="CV144">
        <f>1+1/6+1/6</f>
        <v>1.3333333333333335</v>
      </c>
      <c r="CW144">
        <f>CS144+CT144/24+CU144/48+CV144/48</f>
        <v>1.9861111111111112</v>
      </c>
      <c r="CX144">
        <v>0</v>
      </c>
      <c r="CY144" t="s">
        <v>248</v>
      </c>
      <c r="CZ144" t="s">
        <v>210</v>
      </c>
      <c r="DA144" t="s">
        <v>229</v>
      </c>
      <c r="DB144" t="s">
        <v>356</v>
      </c>
      <c r="DC144" t="s">
        <v>262</v>
      </c>
      <c r="DD144" t="s">
        <v>693</v>
      </c>
      <c r="DE144" t="s">
        <v>371</v>
      </c>
      <c r="DF144" t="s">
        <v>372</v>
      </c>
    </row>
    <row r="145" spans="1:114" x14ac:dyDescent="0.25">
      <c r="A145">
        <v>321</v>
      </c>
      <c r="C145" t="s">
        <v>357</v>
      </c>
      <c r="D145" t="s">
        <v>342</v>
      </c>
      <c r="E145" t="s">
        <v>341</v>
      </c>
      <c r="I145" t="s">
        <v>220</v>
      </c>
      <c r="J145">
        <v>1343</v>
      </c>
      <c r="K145" t="s">
        <v>249</v>
      </c>
      <c r="L145">
        <v>2</v>
      </c>
      <c r="M145" s="7" t="s">
        <v>338</v>
      </c>
      <c r="N145" t="s">
        <v>359</v>
      </c>
      <c r="O145" t="s">
        <v>201</v>
      </c>
      <c r="P145" t="s">
        <v>225</v>
      </c>
      <c r="Q145" t="s">
        <v>205</v>
      </c>
      <c r="R145" t="s">
        <v>205</v>
      </c>
      <c r="S145" t="s">
        <v>205</v>
      </c>
      <c r="T145" t="s">
        <v>225</v>
      </c>
      <c r="U145" t="s">
        <v>277</v>
      </c>
      <c r="V145" t="s">
        <v>204</v>
      </c>
      <c r="W145" t="s">
        <v>205</v>
      </c>
      <c r="X145" t="s">
        <v>205</v>
      </c>
      <c r="Y145" t="s">
        <v>205</v>
      </c>
      <c r="Z145" t="s">
        <v>205</v>
      </c>
      <c r="AA145">
        <v>1</v>
      </c>
      <c r="AB145" t="s">
        <v>205</v>
      </c>
      <c r="AC145" t="s">
        <v>205</v>
      </c>
      <c r="AD145" t="s">
        <v>225</v>
      </c>
      <c r="AE145" t="s">
        <v>225</v>
      </c>
      <c r="AF145" t="s">
        <v>205</v>
      </c>
      <c r="AG145" t="s">
        <v>225</v>
      </c>
      <c r="AH145" t="s">
        <v>205</v>
      </c>
      <c r="AI145" t="s">
        <v>225</v>
      </c>
      <c r="AJ145" t="s">
        <v>205</v>
      </c>
      <c r="AK145" t="s">
        <v>225</v>
      </c>
      <c r="AL145" t="s">
        <v>225</v>
      </c>
      <c r="AM145" t="s">
        <v>225</v>
      </c>
      <c r="AN145" t="s">
        <v>225</v>
      </c>
      <c r="AO145" t="s">
        <v>225</v>
      </c>
      <c r="AP145" t="s">
        <v>225</v>
      </c>
      <c r="AQ145" t="s">
        <v>225</v>
      </c>
      <c r="AR145" t="s">
        <v>225</v>
      </c>
      <c r="AS145" t="s">
        <v>225</v>
      </c>
      <c r="AT145" t="s">
        <v>225</v>
      </c>
      <c r="AU145" t="s">
        <v>225</v>
      </c>
      <c r="AV145" t="s">
        <v>225</v>
      </c>
      <c r="AW145" t="s">
        <v>225</v>
      </c>
      <c r="AX145" t="s">
        <v>225</v>
      </c>
      <c r="AY145" t="s">
        <v>225</v>
      </c>
      <c r="AZ145" t="s">
        <v>225</v>
      </c>
      <c r="BA145" t="s">
        <v>225</v>
      </c>
      <c r="BB145" t="s">
        <v>225</v>
      </c>
      <c r="BC145" t="s">
        <v>225</v>
      </c>
      <c r="BD145" t="s">
        <v>225</v>
      </c>
      <c r="BE145" t="s">
        <v>225</v>
      </c>
      <c r="BF145" t="s">
        <v>225</v>
      </c>
      <c r="BG145" t="s">
        <v>225</v>
      </c>
      <c r="BH145" t="s">
        <v>225</v>
      </c>
      <c r="BI145" t="s">
        <v>225</v>
      </c>
      <c r="BJ145" t="s">
        <v>225</v>
      </c>
      <c r="BK145" t="s">
        <v>225</v>
      </c>
      <c r="BL145" t="s">
        <v>225</v>
      </c>
      <c r="BQ145" t="s">
        <v>3563</v>
      </c>
      <c r="BR145">
        <f>1/2</f>
        <v>0.5</v>
      </c>
      <c r="BS145">
        <v>0</v>
      </c>
      <c r="BT145">
        <v>0</v>
      </c>
      <c r="BU145" s="5">
        <f>(BS145/8+BT145/4)*39</f>
        <v>0</v>
      </c>
      <c r="BV145">
        <v>0</v>
      </c>
      <c r="BW145">
        <v>1</v>
      </c>
      <c r="BX145">
        <v>0</v>
      </c>
      <c r="BY145">
        <v>0</v>
      </c>
      <c r="BZ145">
        <v>0</v>
      </c>
      <c r="CA145">
        <v>0</v>
      </c>
      <c r="CB145">
        <v>0</v>
      </c>
      <c r="CC145" s="5">
        <f>(BV145+BW145/2+BX145/8+BY145/16+BZ145/4+CA145/32)*39</f>
        <v>19.5</v>
      </c>
      <c r="CD145">
        <v>0</v>
      </c>
      <c r="CE145">
        <v>1</v>
      </c>
      <c r="CF145">
        <f>1/2</f>
        <v>0.5</v>
      </c>
      <c r="CG145">
        <v>0</v>
      </c>
      <c r="CH145">
        <v>0</v>
      </c>
      <c r="CI145">
        <v>0</v>
      </c>
      <c r="CJ145">
        <v>0</v>
      </c>
      <c r="CK145">
        <v>0</v>
      </c>
      <c r="CL145" s="5">
        <f>(CD145+CE145/2+CF145/8+CG145/16+CH145/4+CJ145/32+CK145/16)*39</f>
        <v>21.9375</v>
      </c>
      <c r="CM145">
        <v>0</v>
      </c>
      <c r="CN145">
        <v>0</v>
      </c>
      <c r="CO145">
        <v>0</v>
      </c>
      <c r="CP145">
        <v>0</v>
      </c>
      <c r="CQ145">
        <v>0</v>
      </c>
      <c r="CR145" t="s">
        <v>369</v>
      </c>
      <c r="CS145">
        <f>4-2/12+1/12</f>
        <v>3.916666666666667</v>
      </c>
      <c r="CT145" s="11">
        <v>0</v>
      </c>
      <c r="CU145" s="11">
        <v>0</v>
      </c>
      <c r="CV145">
        <f>2+1/2+1+1/4</f>
        <v>3.75</v>
      </c>
      <c r="CW145">
        <f>CS145+CT145/24+CU145/48+CV145/48</f>
        <v>3.994791666666667</v>
      </c>
      <c r="CX145">
        <v>0</v>
      </c>
      <c r="CY145" t="s">
        <v>248</v>
      </c>
      <c r="CZ145" t="s">
        <v>210</v>
      </c>
      <c r="DA145" t="s">
        <v>481</v>
      </c>
      <c r="DB145" t="s">
        <v>370</v>
      </c>
      <c r="DC145" t="s">
        <v>262</v>
      </c>
      <c r="DD145" t="s">
        <v>693</v>
      </c>
      <c r="DE145" t="s">
        <v>371</v>
      </c>
      <c r="DF145" t="s">
        <v>372</v>
      </c>
    </row>
    <row r="146" spans="1:114" x14ac:dyDescent="0.25">
      <c r="A146">
        <v>1122</v>
      </c>
      <c r="C146" t="s">
        <v>769</v>
      </c>
      <c r="D146" t="s">
        <v>1437</v>
      </c>
      <c r="E146" t="s">
        <v>1406</v>
      </c>
      <c r="H146" t="s">
        <v>1438</v>
      </c>
      <c r="I146" t="s">
        <v>220</v>
      </c>
      <c r="J146">
        <v>1343</v>
      </c>
      <c r="K146" t="s">
        <v>973</v>
      </c>
      <c r="L146">
        <v>29</v>
      </c>
      <c r="M146" s="7" t="s">
        <v>338</v>
      </c>
      <c r="BP146" t="s">
        <v>506</v>
      </c>
      <c r="BQ146" s="1" t="s">
        <v>1642</v>
      </c>
      <c r="BR146" s="5">
        <v>0</v>
      </c>
      <c r="BS146" s="5">
        <v>0</v>
      </c>
      <c r="BT146" s="5">
        <v>0</v>
      </c>
      <c r="BU146" s="5">
        <f>(BS146/8+BT146/4)*39</f>
        <v>0</v>
      </c>
      <c r="BV146" s="5">
        <v>0</v>
      </c>
      <c r="BW146" s="5">
        <v>0</v>
      </c>
      <c r="BX146" s="5">
        <f>1/6</f>
        <v>0.16666666666666666</v>
      </c>
      <c r="BY146" s="5">
        <v>0</v>
      </c>
      <c r="BZ146" s="5">
        <v>0</v>
      </c>
      <c r="CA146" s="5">
        <v>0</v>
      </c>
      <c r="CB146" s="5">
        <v>0</v>
      </c>
      <c r="CC146" s="5">
        <f>(BV146+BW146/2+BX146/8+BY146/16+BZ146/4+CA146/32)*39</f>
        <v>0.8125</v>
      </c>
      <c r="CD146" s="5">
        <v>0</v>
      </c>
      <c r="CE146" s="5">
        <v>0</v>
      </c>
      <c r="CF146" s="5">
        <f>1/6</f>
        <v>0.16666666666666666</v>
      </c>
      <c r="CG146" s="5">
        <v>0</v>
      </c>
      <c r="CH146" s="5">
        <v>0</v>
      </c>
      <c r="CI146" s="5">
        <v>0</v>
      </c>
      <c r="CJ146" s="5">
        <v>0</v>
      </c>
      <c r="CK146" s="5">
        <v>0</v>
      </c>
      <c r="CL146" s="5">
        <f>(CD146+CE146/2+CF146/8+CG146/16+CH146/4+CJ146/32+CK146/16)*39</f>
        <v>0.8125</v>
      </c>
      <c r="CM146" s="5">
        <v>0</v>
      </c>
      <c r="CN146" s="5">
        <v>0</v>
      </c>
      <c r="CO146" s="5">
        <v>0</v>
      </c>
      <c r="CP146" s="5">
        <v>0</v>
      </c>
      <c r="CQ146" s="5">
        <v>0</v>
      </c>
      <c r="CS146">
        <f>1/12</f>
        <v>8.3333333333333329E-2</v>
      </c>
      <c r="CT146">
        <v>0</v>
      </c>
      <c r="CU146">
        <v>0</v>
      </c>
      <c r="CV146">
        <f>1/2</f>
        <v>0.5</v>
      </c>
      <c r="CW146">
        <f>CS146+CT146/24+CU146/48+CV146/48</f>
        <v>9.375E-2</v>
      </c>
      <c r="CX146">
        <v>0</v>
      </c>
    </row>
    <row r="147" spans="1:114" x14ac:dyDescent="0.25">
      <c r="A147">
        <v>1811</v>
      </c>
      <c r="C147" t="s">
        <v>13</v>
      </c>
      <c r="D147" t="s">
        <v>3338</v>
      </c>
      <c r="E147" t="s">
        <v>1810</v>
      </c>
      <c r="F147" t="s">
        <v>3339</v>
      </c>
      <c r="I147" t="s">
        <v>219</v>
      </c>
      <c r="J147" s="5">
        <v>1344</v>
      </c>
      <c r="K147" t="s">
        <v>265</v>
      </c>
      <c r="L147">
        <v>13</v>
      </c>
      <c r="M147" s="7" t="s">
        <v>338</v>
      </c>
      <c r="N147" t="s">
        <v>986</v>
      </c>
      <c r="V147" t="s">
        <v>1463</v>
      </c>
      <c r="W147" t="s">
        <v>225</v>
      </c>
      <c r="X147" t="s">
        <v>225</v>
      </c>
      <c r="Y147">
        <v>1</v>
      </c>
      <c r="Z147" t="s">
        <v>225</v>
      </c>
      <c r="AA147" t="s">
        <v>225</v>
      </c>
      <c r="AB147" t="s">
        <v>225</v>
      </c>
      <c r="AC147" t="s">
        <v>225</v>
      </c>
      <c r="AD147" t="s">
        <v>205</v>
      </c>
      <c r="AE147" t="s">
        <v>225</v>
      </c>
      <c r="AF147" t="s">
        <v>225</v>
      </c>
      <c r="AG147" t="s">
        <v>225</v>
      </c>
      <c r="AH147" t="s">
        <v>225</v>
      </c>
      <c r="AI147" t="s">
        <v>225</v>
      </c>
      <c r="AJ147" t="s">
        <v>225</v>
      </c>
      <c r="AK147" t="s">
        <v>225</v>
      </c>
      <c r="AL147" t="s">
        <v>225</v>
      </c>
      <c r="AM147" t="s">
        <v>225</v>
      </c>
      <c r="AN147" t="s">
        <v>225</v>
      </c>
      <c r="AO147" t="s">
        <v>225</v>
      </c>
      <c r="AP147">
        <v>1</v>
      </c>
      <c r="AQ147" t="s">
        <v>225</v>
      </c>
      <c r="AR147" t="s">
        <v>225</v>
      </c>
      <c r="AS147" t="s">
        <v>225</v>
      </c>
      <c r="AT147" t="s">
        <v>225</v>
      </c>
      <c r="AU147" t="s">
        <v>225</v>
      </c>
      <c r="AV147" t="s">
        <v>225</v>
      </c>
      <c r="AW147" t="s">
        <v>225</v>
      </c>
      <c r="AX147" t="s">
        <v>225</v>
      </c>
      <c r="AY147" t="s">
        <v>225</v>
      </c>
      <c r="AZ147" t="s">
        <v>225</v>
      </c>
      <c r="BA147" t="s">
        <v>225</v>
      </c>
      <c r="BB147" t="s">
        <v>225</v>
      </c>
      <c r="BC147" t="s">
        <v>225</v>
      </c>
      <c r="BD147" t="s">
        <v>225</v>
      </c>
      <c r="BE147" t="s">
        <v>225</v>
      </c>
      <c r="BF147" t="s">
        <v>225</v>
      </c>
      <c r="BG147" t="s">
        <v>225</v>
      </c>
      <c r="BH147" t="s">
        <v>225</v>
      </c>
      <c r="BI147" t="s">
        <v>225</v>
      </c>
      <c r="BJ147" t="s">
        <v>225</v>
      </c>
      <c r="BK147" t="s">
        <v>225</v>
      </c>
      <c r="BL147" t="s">
        <v>225</v>
      </c>
      <c r="BN147" t="s">
        <v>3357</v>
      </c>
      <c r="BQ147" t="s">
        <v>539</v>
      </c>
      <c r="BR147" s="5">
        <v>0</v>
      </c>
      <c r="BS147" s="5">
        <v>0</v>
      </c>
      <c r="BT147" s="5">
        <v>0</v>
      </c>
      <c r="BU147" s="5">
        <f>(BS147/8+BT147/4)*39</f>
        <v>0</v>
      </c>
      <c r="BV147" s="5">
        <v>0</v>
      </c>
      <c r="BW147" s="5">
        <v>0</v>
      </c>
      <c r="BX147" s="5">
        <f>1/2</f>
        <v>0.5</v>
      </c>
      <c r="BY147" s="5">
        <v>0</v>
      </c>
      <c r="BZ147" s="5">
        <v>1</v>
      </c>
      <c r="CA147" s="5">
        <v>0</v>
      </c>
      <c r="CB147" s="5">
        <v>0</v>
      </c>
      <c r="CC147" s="5">
        <f>(BV147+BW147/2+BX147/8+BY147/16+BZ147/4+CA147/32)*39</f>
        <v>12.1875</v>
      </c>
      <c r="CD147" s="5">
        <v>0</v>
      </c>
      <c r="CE147" s="5">
        <v>0</v>
      </c>
      <c r="CF147" s="5">
        <v>0</v>
      </c>
      <c r="CG147" s="5">
        <v>0</v>
      </c>
      <c r="CH147" s="5">
        <v>0</v>
      </c>
      <c r="CI147" s="5">
        <v>0</v>
      </c>
      <c r="CJ147" s="5">
        <v>0</v>
      </c>
      <c r="CK147" s="5">
        <v>0</v>
      </c>
      <c r="CL147" s="5">
        <f>(CD147+CE147/2+CF147/8+CG147/16+CH147/4+CJ147/32+CK147/16)*39</f>
        <v>0</v>
      </c>
      <c r="CM147" s="5">
        <v>0</v>
      </c>
      <c r="CN147" s="5">
        <v>0</v>
      </c>
      <c r="CO147" s="5">
        <v>0</v>
      </c>
      <c r="CP147" s="5">
        <v>0</v>
      </c>
      <c r="CQ147" s="5">
        <v>0</v>
      </c>
      <c r="CS147">
        <f>2+6/12</f>
        <v>2.5</v>
      </c>
      <c r="CT147">
        <v>0</v>
      </c>
      <c r="CU147">
        <v>0</v>
      </c>
      <c r="CV147">
        <v>0</v>
      </c>
      <c r="CW147">
        <f>CS147+CT147/24+CU147/48+CV147/48</f>
        <v>2.5</v>
      </c>
      <c r="CX147">
        <v>0</v>
      </c>
      <c r="CZ147" t="s">
        <v>210</v>
      </c>
      <c r="DB147" t="s">
        <v>3326</v>
      </c>
      <c r="DC147" t="s">
        <v>262</v>
      </c>
      <c r="DD147" t="s">
        <v>693</v>
      </c>
      <c r="DE147" t="s">
        <v>3358</v>
      </c>
      <c r="DF147" t="s">
        <v>3359</v>
      </c>
      <c r="DG147" t="s">
        <v>3329</v>
      </c>
    </row>
    <row r="148" spans="1:114" x14ac:dyDescent="0.25">
      <c r="A148">
        <v>1332</v>
      </c>
      <c r="C148" t="s">
        <v>3804</v>
      </c>
      <c r="D148" t="s">
        <v>1809</v>
      </c>
      <c r="E148" t="s">
        <v>1810</v>
      </c>
      <c r="G148" t="s">
        <v>1811</v>
      </c>
      <c r="H148" t="s">
        <v>1843</v>
      </c>
      <c r="I148" t="s">
        <v>3219</v>
      </c>
      <c r="J148">
        <v>1343</v>
      </c>
      <c r="K148" t="s">
        <v>1097</v>
      </c>
      <c r="L148">
        <v>12</v>
      </c>
      <c r="M148" s="7" t="s">
        <v>338</v>
      </c>
      <c r="N148" t="s">
        <v>236</v>
      </c>
      <c r="P148" t="s">
        <v>225</v>
      </c>
      <c r="Q148" t="s">
        <v>205</v>
      </c>
      <c r="R148" t="s">
        <v>205</v>
      </c>
      <c r="S148" t="s">
        <v>205</v>
      </c>
      <c r="T148" t="s">
        <v>225</v>
      </c>
      <c r="W148">
        <v>1</v>
      </c>
      <c r="X148">
        <v>2</v>
      </c>
      <c r="Y148" t="s">
        <v>205</v>
      </c>
      <c r="Z148" t="s">
        <v>225</v>
      </c>
      <c r="AA148" t="s">
        <v>205</v>
      </c>
      <c r="AB148" t="s">
        <v>225</v>
      </c>
      <c r="AC148" t="s">
        <v>1807</v>
      </c>
      <c r="AD148" t="s">
        <v>205</v>
      </c>
      <c r="AE148" t="s">
        <v>225</v>
      </c>
      <c r="AF148" t="s">
        <v>225</v>
      </c>
      <c r="AG148" t="s">
        <v>225</v>
      </c>
      <c r="AH148" t="s">
        <v>225</v>
      </c>
      <c r="AI148" t="s">
        <v>225</v>
      </c>
      <c r="AJ148" t="s">
        <v>225</v>
      </c>
      <c r="AK148" t="s">
        <v>225</v>
      </c>
      <c r="AL148">
        <v>1</v>
      </c>
      <c r="AM148">
        <v>1</v>
      </c>
      <c r="AN148" t="s">
        <v>225</v>
      </c>
      <c r="AO148" t="s">
        <v>225</v>
      </c>
      <c r="AP148">
        <v>12</v>
      </c>
      <c r="AQ148" t="s">
        <v>225</v>
      </c>
      <c r="AR148" t="s">
        <v>225</v>
      </c>
      <c r="AS148" t="s">
        <v>225</v>
      </c>
      <c r="AT148" t="s">
        <v>225</v>
      </c>
      <c r="AU148" t="s">
        <v>225</v>
      </c>
      <c r="AV148" t="s">
        <v>225</v>
      </c>
      <c r="AW148" t="s">
        <v>225</v>
      </c>
      <c r="AX148" t="s">
        <v>225</v>
      </c>
      <c r="AY148" t="s">
        <v>225</v>
      </c>
      <c r="AZ148" t="s">
        <v>225</v>
      </c>
      <c r="BA148" t="s">
        <v>225</v>
      </c>
      <c r="BB148" t="s">
        <v>225</v>
      </c>
      <c r="BC148" t="s">
        <v>225</v>
      </c>
      <c r="BD148" t="s">
        <v>225</v>
      </c>
      <c r="BE148" t="s">
        <v>225</v>
      </c>
      <c r="BF148" t="s">
        <v>225</v>
      </c>
      <c r="BG148" t="s">
        <v>225</v>
      </c>
      <c r="BH148" t="s">
        <v>225</v>
      </c>
      <c r="BI148" t="s">
        <v>225</v>
      </c>
      <c r="BJ148" t="s">
        <v>225</v>
      </c>
      <c r="BK148" t="s">
        <v>225</v>
      </c>
      <c r="BL148" t="s">
        <v>225</v>
      </c>
      <c r="BN148" t="s">
        <v>1847</v>
      </c>
      <c r="BO148" t="s">
        <v>1840</v>
      </c>
      <c r="BP148" t="s">
        <v>461</v>
      </c>
      <c r="BQ148" s="1" t="s">
        <v>1907</v>
      </c>
      <c r="BR148" s="5">
        <f>1/2</f>
        <v>0.5</v>
      </c>
      <c r="BS148" s="5">
        <v>0</v>
      </c>
      <c r="BT148" s="5">
        <v>0</v>
      </c>
      <c r="BU148" s="5">
        <f>(BS148/8+BT148/4)*39</f>
        <v>0</v>
      </c>
      <c r="BV148" s="5">
        <v>0</v>
      </c>
      <c r="BW148" s="5">
        <v>0</v>
      </c>
      <c r="BX148" s="5">
        <v>5</v>
      </c>
      <c r="BY148" s="5">
        <v>1</v>
      </c>
      <c r="BZ148" s="5">
        <v>0</v>
      </c>
      <c r="CA148" s="5">
        <f>1/2</f>
        <v>0.5</v>
      </c>
      <c r="CB148" s="5">
        <v>0</v>
      </c>
      <c r="CC148" s="5">
        <f>(BV148+BW148/2+BX148/8+BY148/16+BZ148/4+CA148/32)*39</f>
        <v>27.421875</v>
      </c>
      <c r="CD148" s="5">
        <v>0</v>
      </c>
      <c r="CE148" s="5">
        <v>0</v>
      </c>
      <c r="CF148" s="5">
        <f>1/2+1/2</f>
        <v>1</v>
      </c>
      <c r="CG148" s="5">
        <f>1/2</f>
        <v>0.5</v>
      </c>
      <c r="CH148" s="5">
        <v>1</v>
      </c>
      <c r="CI148" s="5">
        <v>0</v>
      </c>
      <c r="CJ148" s="5">
        <v>0</v>
      </c>
      <c r="CK148" s="5">
        <v>0</v>
      </c>
      <c r="CL148" s="5">
        <f>(CD148+CE148/2+CF148/8+CG148/16+CH148/4+CJ148/32+CK148/16)*39</f>
        <v>15.84375</v>
      </c>
      <c r="CM148" s="5">
        <v>0</v>
      </c>
      <c r="CN148" s="5">
        <v>0</v>
      </c>
      <c r="CO148" s="5">
        <v>0</v>
      </c>
      <c r="CP148" s="5">
        <v>0</v>
      </c>
      <c r="CQ148" s="5">
        <v>0</v>
      </c>
      <c r="CR148" t="s">
        <v>1846</v>
      </c>
      <c r="CS148">
        <f>6+2+2/12</f>
        <v>8.1666666666666661</v>
      </c>
      <c r="CT148">
        <v>1</v>
      </c>
      <c r="CU148">
        <v>0</v>
      </c>
      <c r="CV148">
        <f>1/2</f>
        <v>0.5</v>
      </c>
      <c r="CW148">
        <f>CS148+CT148/24+CU148/48+CV148/48</f>
        <v>8.2187499999999982</v>
      </c>
      <c r="CX148">
        <v>0</v>
      </c>
      <c r="CY148" t="s">
        <v>248</v>
      </c>
      <c r="DA148" t="s">
        <v>1733</v>
      </c>
      <c r="DB148" t="s">
        <v>1872</v>
      </c>
      <c r="DC148" s="16" t="s">
        <v>262</v>
      </c>
      <c r="DD148" s="16" t="s">
        <v>693</v>
      </c>
      <c r="DE148" s="5"/>
      <c r="DF148" s="5"/>
      <c r="DG148" s="5"/>
      <c r="DH148" s="5"/>
      <c r="DI148" s="5"/>
    </row>
    <row r="149" spans="1:114" x14ac:dyDescent="0.25">
      <c r="A149">
        <v>191</v>
      </c>
      <c r="C149" t="s">
        <v>217</v>
      </c>
      <c r="D149" t="s">
        <v>152</v>
      </c>
      <c r="E149" t="s">
        <v>197</v>
      </c>
      <c r="G149" t="s">
        <v>1268</v>
      </c>
      <c r="I149" t="s">
        <v>220</v>
      </c>
      <c r="J149">
        <v>1342</v>
      </c>
      <c r="K149" t="s">
        <v>198</v>
      </c>
      <c r="L149">
        <v>18</v>
      </c>
      <c r="M149" s="7" t="s">
        <v>338</v>
      </c>
      <c r="N149" t="s">
        <v>358</v>
      </c>
      <c r="O149" t="s">
        <v>201</v>
      </c>
      <c r="P149" t="s">
        <v>225</v>
      </c>
      <c r="Q149" s="19" t="s">
        <v>205</v>
      </c>
      <c r="R149" t="s">
        <v>205</v>
      </c>
      <c r="S149" t="s">
        <v>205</v>
      </c>
      <c r="T149" t="s">
        <v>225</v>
      </c>
      <c r="W149">
        <v>1</v>
      </c>
      <c r="X149">
        <v>1</v>
      </c>
      <c r="Y149" t="s">
        <v>225</v>
      </c>
      <c r="Z149" t="s">
        <v>225</v>
      </c>
      <c r="AA149" t="s">
        <v>225</v>
      </c>
      <c r="AB149" t="s">
        <v>225</v>
      </c>
      <c r="AC149" t="s">
        <v>225</v>
      </c>
      <c r="AD149" t="s">
        <v>225</v>
      </c>
      <c r="AE149" t="s">
        <v>225</v>
      </c>
      <c r="AF149" t="s">
        <v>225</v>
      </c>
      <c r="AG149" t="s">
        <v>225</v>
      </c>
      <c r="AH149" t="s">
        <v>225</v>
      </c>
      <c r="AI149" t="s">
        <v>225</v>
      </c>
      <c r="AJ149" t="s">
        <v>225</v>
      </c>
      <c r="AK149" t="s">
        <v>225</v>
      </c>
      <c r="AL149" t="s">
        <v>225</v>
      </c>
      <c r="AM149" t="s">
        <v>225</v>
      </c>
      <c r="AN149" t="s">
        <v>225</v>
      </c>
      <c r="AO149" t="s">
        <v>225</v>
      </c>
      <c r="AP149" t="s">
        <v>225</v>
      </c>
      <c r="AQ149" t="s">
        <v>225</v>
      </c>
      <c r="AR149" t="s">
        <v>225</v>
      </c>
      <c r="AS149" t="s">
        <v>225</v>
      </c>
      <c r="AT149" t="s">
        <v>225</v>
      </c>
      <c r="AU149" t="s">
        <v>225</v>
      </c>
      <c r="AV149" t="s">
        <v>225</v>
      </c>
      <c r="AW149" t="s">
        <v>225</v>
      </c>
      <c r="AX149" t="s">
        <v>225</v>
      </c>
      <c r="AY149" t="s">
        <v>225</v>
      </c>
      <c r="AZ149" t="s">
        <v>225</v>
      </c>
      <c r="BA149" t="s">
        <v>225</v>
      </c>
      <c r="BB149" t="s">
        <v>225</v>
      </c>
      <c r="BC149" t="s">
        <v>225</v>
      </c>
      <c r="BD149" t="s">
        <v>225</v>
      </c>
      <c r="BE149" t="s">
        <v>225</v>
      </c>
      <c r="BF149" t="s">
        <v>225</v>
      </c>
      <c r="BG149" t="s">
        <v>225</v>
      </c>
      <c r="BH149" t="s">
        <v>225</v>
      </c>
      <c r="BI149" t="s">
        <v>225</v>
      </c>
      <c r="BJ149" t="s">
        <v>225</v>
      </c>
      <c r="BK149" t="s">
        <v>225</v>
      </c>
      <c r="BL149" t="s">
        <v>225</v>
      </c>
      <c r="BN149" t="s">
        <v>1271</v>
      </c>
      <c r="BR149">
        <f>1/2</f>
        <v>0.5</v>
      </c>
      <c r="BS149">
        <v>0</v>
      </c>
      <c r="BT149">
        <v>0</v>
      </c>
      <c r="BU149" s="5">
        <f>(BS149/8+BT149/4)*39</f>
        <v>0</v>
      </c>
      <c r="BV149">
        <v>0</v>
      </c>
      <c r="BW149">
        <v>0</v>
      </c>
      <c r="BX149">
        <v>0</v>
      </c>
      <c r="BY149">
        <v>0</v>
      </c>
      <c r="BZ149">
        <v>0</v>
      </c>
      <c r="CA149">
        <v>0</v>
      </c>
      <c r="CB149">
        <v>0</v>
      </c>
      <c r="CC149" s="5">
        <f>(BV149+BW149/2+BX149/8+BY149/16+BZ149/4+CA149/32)*39</f>
        <v>0</v>
      </c>
      <c r="CD149">
        <v>0</v>
      </c>
      <c r="CE149">
        <v>0</v>
      </c>
      <c r="CF149">
        <v>0</v>
      </c>
      <c r="CG149">
        <v>0</v>
      </c>
      <c r="CH149">
        <v>0</v>
      </c>
      <c r="CI149">
        <v>0</v>
      </c>
      <c r="CJ149">
        <v>0</v>
      </c>
      <c r="CK149">
        <v>0</v>
      </c>
      <c r="CL149" s="5">
        <f>(CD149+CE149/2+CF149/8+CG149/16+CH149/4+CJ149/32+CK149/16)*39</f>
        <v>0</v>
      </c>
      <c r="CM149">
        <v>0</v>
      </c>
      <c r="CN149">
        <v>0</v>
      </c>
      <c r="CO149">
        <v>0</v>
      </c>
      <c r="CP149">
        <v>0</v>
      </c>
      <c r="CQ149">
        <v>0</v>
      </c>
      <c r="CS149">
        <v>0</v>
      </c>
      <c r="CT149">
        <v>0</v>
      </c>
      <c r="CU149">
        <v>0</v>
      </c>
      <c r="CV149">
        <v>0</v>
      </c>
      <c r="CW149">
        <f>CS149+CT149/24+CU149/48+CV149/48</f>
        <v>0</v>
      </c>
      <c r="CX149">
        <v>0</v>
      </c>
      <c r="CZ149" t="s">
        <v>210</v>
      </c>
      <c r="DC149" t="s">
        <v>262</v>
      </c>
      <c r="DD149" t="s">
        <v>693</v>
      </c>
      <c r="DE149" t="s">
        <v>1254</v>
      </c>
      <c r="DF149" t="s">
        <v>1256</v>
      </c>
    </row>
    <row r="150" spans="1:114" x14ac:dyDescent="0.25">
      <c r="A150">
        <v>721</v>
      </c>
      <c r="B150" t="s">
        <v>788</v>
      </c>
      <c r="C150" t="s">
        <v>13</v>
      </c>
      <c r="D150" t="s">
        <v>785</v>
      </c>
      <c r="E150" t="s">
        <v>776</v>
      </c>
      <c r="I150" t="s">
        <v>219</v>
      </c>
      <c r="J150">
        <v>1343</v>
      </c>
      <c r="K150" t="s">
        <v>383</v>
      </c>
      <c r="L150">
        <v>13</v>
      </c>
      <c r="M150" s="7" t="s">
        <v>338</v>
      </c>
      <c r="N150" t="s">
        <v>358</v>
      </c>
      <c r="O150" t="s">
        <v>201</v>
      </c>
      <c r="P150" t="s">
        <v>225</v>
      </c>
      <c r="Q150" s="19" t="s">
        <v>205</v>
      </c>
      <c r="R150" t="s">
        <v>205</v>
      </c>
      <c r="S150" t="s">
        <v>205</v>
      </c>
      <c r="T150" t="s">
        <v>225</v>
      </c>
      <c r="U150" t="s">
        <v>277</v>
      </c>
      <c r="V150" t="s">
        <v>204</v>
      </c>
      <c r="W150">
        <v>1</v>
      </c>
      <c r="X150">
        <v>1</v>
      </c>
      <c r="Y150" t="s">
        <v>205</v>
      </c>
      <c r="Z150" t="s">
        <v>225</v>
      </c>
      <c r="AA150" t="s">
        <v>225</v>
      </c>
      <c r="AB150" t="s">
        <v>225</v>
      </c>
      <c r="AC150" t="s">
        <v>205</v>
      </c>
      <c r="AD150" t="s">
        <v>225</v>
      </c>
      <c r="AE150" t="s">
        <v>225</v>
      </c>
      <c r="AF150" t="s">
        <v>225</v>
      </c>
      <c r="AG150" t="s">
        <v>225</v>
      </c>
      <c r="AH150" t="s">
        <v>225</v>
      </c>
      <c r="AI150" t="s">
        <v>225</v>
      </c>
      <c r="AJ150" t="s">
        <v>225</v>
      </c>
      <c r="AK150" t="s">
        <v>225</v>
      </c>
      <c r="AL150" t="s">
        <v>225</v>
      </c>
      <c r="AM150" t="s">
        <v>225</v>
      </c>
      <c r="AN150" t="s">
        <v>225</v>
      </c>
      <c r="AO150" t="s">
        <v>225</v>
      </c>
      <c r="AP150" t="s">
        <v>225</v>
      </c>
      <c r="AQ150" t="s">
        <v>225</v>
      </c>
      <c r="AR150" t="s">
        <v>225</v>
      </c>
      <c r="AS150" t="s">
        <v>225</v>
      </c>
      <c r="AT150" t="s">
        <v>225</v>
      </c>
      <c r="AU150" t="s">
        <v>225</v>
      </c>
      <c r="AV150" t="s">
        <v>225</v>
      </c>
      <c r="AW150" t="s">
        <v>225</v>
      </c>
      <c r="AX150" t="s">
        <v>225</v>
      </c>
      <c r="AY150" t="s">
        <v>225</v>
      </c>
      <c r="AZ150" t="s">
        <v>225</v>
      </c>
      <c r="BA150" t="s">
        <v>225</v>
      </c>
      <c r="BB150" t="s">
        <v>225</v>
      </c>
      <c r="BC150" t="s">
        <v>225</v>
      </c>
      <c r="BD150" t="s">
        <v>225</v>
      </c>
      <c r="BE150" t="s">
        <v>225</v>
      </c>
      <c r="BF150" t="s">
        <v>225</v>
      </c>
      <c r="BG150" t="s">
        <v>225</v>
      </c>
      <c r="BH150" t="s">
        <v>225</v>
      </c>
      <c r="BI150" t="s">
        <v>225</v>
      </c>
      <c r="BJ150" t="s">
        <v>225</v>
      </c>
      <c r="BK150" t="s">
        <v>225</v>
      </c>
      <c r="BL150" t="s">
        <v>225</v>
      </c>
      <c r="BN150" t="s">
        <v>816</v>
      </c>
      <c r="BQ150" t="s">
        <v>1455</v>
      </c>
      <c r="BR150">
        <f>1/2</f>
        <v>0.5</v>
      </c>
      <c r="BS150">
        <v>0</v>
      </c>
      <c r="BT150">
        <v>0</v>
      </c>
      <c r="BU150" s="5">
        <f>(BS150/8+BT150/4)*39</f>
        <v>0</v>
      </c>
      <c r="BV150">
        <v>0</v>
      </c>
      <c r="BW150">
        <v>0</v>
      </c>
      <c r="BX150" s="5">
        <f>3/2</f>
        <v>1.5</v>
      </c>
      <c r="BY150">
        <v>0</v>
      </c>
      <c r="BZ150">
        <v>0</v>
      </c>
      <c r="CA150">
        <v>0</v>
      </c>
      <c r="CB150">
        <v>0</v>
      </c>
      <c r="CC150" s="5">
        <f>(BV150+BW150/2+BX150/8+BY150/16+BZ150/4+CA150/32)*39</f>
        <v>7.3125</v>
      </c>
      <c r="CD150">
        <v>0</v>
      </c>
      <c r="CE150">
        <v>0</v>
      </c>
      <c r="CF150" s="5">
        <f>3/2</f>
        <v>1.5</v>
      </c>
      <c r="CG150">
        <v>0</v>
      </c>
      <c r="CH150">
        <v>0</v>
      </c>
      <c r="CI150">
        <v>0</v>
      </c>
      <c r="CJ150">
        <v>0</v>
      </c>
      <c r="CK150">
        <v>0</v>
      </c>
      <c r="CL150" s="5">
        <f>(CD150+CE150/2+CF150/8+CG150/16+CH150/4+CJ150/32+CK150/16)*39</f>
        <v>7.3125</v>
      </c>
      <c r="CM150">
        <v>0</v>
      </c>
      <c r="CN150">
        <v>0</v>
      </c>
      <c r="CO150">
        <v>0</v>
      </c>
      <c r="CP150">
        <v>0</v>
      </c>
      <c r="CQ150">
        <v>0</v>
      </c>
      <c r="CS150">
        <f>20/12</f>
        <v>1.6666666666666667</v>
      </c>
      <c r="CT150">
        <v>0</v>
      </c>
      <c r="CU150">
        <v>0</v>
      </c>
      <c r="CV150">
        <v>0</v>
      </c>
      <c r="CW150">
        <f>CS150+CT150/24+CU150/48+CV150/48</f>
        <v>1.6666666666666667</v>
      </c>
      <c r="CX150">
        <v>0</v>
      </c>
      <c r="CZ150" t="s">
        <v>210</v>
      </c>
      <c r="DB150" t="s">
        <v>891</v>
      </c>
      <c r="DC150" t="s">
        <v>262</v>
      </c>
      <c r="DD150" t="s">
        <v>693</v>
      </c>
      <c r="DE150" t="s">
        <v>263</v>
      </c>
      <c r="DF150" t="s">
        <v>878</v>
      </c>
      <c r="DG150" t="s">
        <v>879</v>
      </c>
      <c r="DJ150" t="s">
        <v>483</v>
      </c>
    </row>
    <row r="151" spans="1:114" x14ac:dyDescent="0.25">
      <c r="A151">
        <v>142</v>
      </c>
      <c r="C151" t="s">
        <v>165</v>
      </c>
      <c r="D151" t="s">
        <v>1197</v>
      </c>
      <c r="E151" t="s">
        <v>197</v>
      </c>
      <c r="I151" t="s">
        <v>219</v>
      </c>
      <c r="J151">
        <v>1342</v>
      </c>
      <c r="K151" t="s">
        <v>198</v>
      </c>
      <c r="L151">
        <v>17</v>
      </c>
      <c r="M151" s="7" t="s">
        <v>338</v>
      </c>
      <c r="N151" t="s">
        <v>236</v>
      </c>
      <c r="O151" t="s">
        <v>201</v>
      </c>
      <c r="P151" t="s">
        <v>225</v>
      </c>
      <c r="Q151" s="19" t="s">
        <v>205</v>
      </c>
      <c r="R151" t="s">
        <v>205</v>
      </c>
      <c r="S151" t="s">
        <v>205</v>
      </c>
      <c r="T151" t="s">
        <v>225</v>
      </c>
      <c r="W151" t="s">
        <v>205</v>
      </c>
      <c r="X151" t="s">
        <v>205</v>
      </c>
      <c r="Y151" t="s">
        <v>205</v>
      </c>
      <c r="Z151" t="s">
        <v>205</v>
      </c>
      <c r="AA151" t="s">
        <v>205</v>
      </c>
      <c r="AB151" t="s">
        <v>205</v>
      </c>
      <c r="AC151" t="s">
        <v>205</v>
      </c>
      <c r="AD151" t="s">
        <v>225</v>
      </c>
      <c r="AE151" t="s">
        <v>225</v>
      </c>
      <c r="AF151" t="s">
        <v>205</v>
      </c>
      <c r="AG151">
        <v>1</v>
      </c>
      <c r="AH151" t="s">
        <v>205</v>
      </c>
      <c r="AI151" t="s">
        <v>225</v>
      </c>
      <c r="AJ151" t="s">
        <v>225</v>
      </c>
      <c r="AK151" t="s">
        <v>225</v>
      </c>
      <c r="AL151" t="s">
        <v>225</v>
      </c>
      <c r="AM151" t="s">
        <v>225</v>
      </c>
      <c r="AN151" t="s">
        <v>225</v>
      </c>
      <c r="AO151" t="s">
        <v>225</v>
      </c>
      <c r="AP151" t="s">
        <v>225</v>
      </c>
      <c r="AQ151" t="s">
        <v>225</v>
      </c>
      <c r="AR151" t="s">
        <v>225</v>
      </c>
      <c r="AS151" t="s">
        <v>225</v>
      </c>
      <c r="AT151" t="s">
        <v>225</v>
      </c>
      <c r="AU151" t="s">
        <v>225</v>
      </c>
      <c r="AV151" t="s">
        <v>225</v>
      </c>
      <c r="AW151" t="s">
        <v>225</v>
      </c>
      <c r="AX151" t="s">
        <v>225</v>
      </c>
      <c r="AY151" t="s">
        <v>225</v>
      </c>
      <c r="AZ151" t="s">
        <v>225</v>
      </c>
      <c r="BA151" t="s">
        <v>225</v>
      </c>
      <c r="BB151" t="s">
        <v>225</v>
      </c>
      <c r="BC151" t="s">
        <v>225</v>
      </c>
      <c r="BD151" t="s">
        <v>225</v>
      </c>
      <c r="BE151" t="s">
        <v>225</v>
      </c>
      <c r="BF151" t="s">
        <v>225</v>
      </c>
      <c r="BG151" t="s">
        <v>225</v>
      </c>
      <c r="BH151" t="s">
        <v>225</v>
      </c>
      <c r="BI151" t="s">
        <v>225</v>
      </c>
      <c r="BJ151" t="s">
        <v>225</v>
      </c>
      <c r="BK151" t="s">
        <v>225</v>
      </c>
      <c r="BL151" t="s">
        <v>205</v>
      </c>
      <c r="BN151" t="s">
        <v>1208</v>
      </c>
      <c r="BO151" t="s">
        <v>1198</v>
      </c>
      <c r="BQ151" t="s">
        <v>3563</v>
      </c>
      <c r="BR151">
        <v>1.5</v>
      </c>
      <c r="BS151">
        <v>0</v>
      </c>
      <c r="BT151">
        <v>0</v>
      </c>
      <c r="BU151" s="5">
        <f>(BS151/8+BT151/4)*39</f>
        <v>0</v>
      </c>
      <c r="BV151">
        <v>0</v>
      </c>
      <c r="BW151">
        <v>0</v>
      </c>
      <c r="BX151">
        <f>7+1/2+1/2</f>
        <v>8</v>
      </c>
      <c r="BY151">
        <v>0</v>
      </c>
      <c r="BZ151">
        <v>0</v>
      </c>
      <c r="CA151">
        <v>0</v>
      </c>
      <c r="CB151">
        <v>0</v>
      </c>
      <c r="CC151" s="5">
        <f>(BV151+BW151/2+BX151/8+BY151/16+BZ151/4+CA151/32)*39</f>
        <v>39</v>
      </c>
      <c r="CD151">
        <v>1</v>
      </c>
      <c r="CE151">
        <v>0</v>
      </c>
      <c r="CF151">
        <v>1</v>
      </c>
      <c r="CG151">
        <v>0</v>
      </c>
      <c r="CH151">
        <v>0</v>
      </c>
      <c r="CI151">
        <v>0</v>
      </c>
      <c r="CJ151">
        <v>0</v>
      </c>
      <c r="CK151">
        <v>0</v>
      </c>
      <c r="CL151" s="5">
        <f>(CD151+CE151/2+CF151/8+CG151/16+CH151/4+CJ151/32+CK151/16)*39</f>
        <v>43.875</v>
      </c>
      <c r="CM151">
        <v>0</v>
      </c>
      <c r="CN151">
        <v>0</v>
      </c>
      <c r="CO151">
        <v>0</v>
      </c>
      <c r="CP151">
        <v>0</v>
      </c>
      <c r="CQ151">
        <v>0</v>
      </c>
      <c r="CR151" t="s">
        <v>1209</v>
      </c>
      <c r="CS151">
        <f>14.5+4/12</f>
        <v>14.833333333333334</v>
      </c>
      <c r="CT151">
        <v>0</v>
      </c>
      <c r="CU151">
        <v>0</v>
      </c>
      <c r="CV151">
        <v>0</v>
      </c>
      <c r="CW151">
        <f>CS151+CT151/24+CU151/48+CV151/48</f>
        <v>14.833333333333334</v>
      </c>
      <c r="CX151">
        <v>0</v>
      </c>
      <c r="CY151" t="s">
        <v>248</v>
      </c>
      <c r="CZ151" t="s">
        <v>210</v>
      </c>
      <c r="DA151" t="s">
        <v>456</v>
      </c>
      <c r="DB151" t="s">
        <v>1228</v>
      </c>
      <c r="DC151" t="s">
        <v>262</v>
      </c>
      <c r="DD151" t="s">
        <v>693</v>
      </c>
      <c r="DE151" t="s">
        <v>1216</v>
      </c>
      <c r="DF151" t="s">
        <v>1217</v>
      </c>
      <c r="DG151" t="s">
        <v>1218</v>
      </c>
    </row>
    <row r="152" spans="1:114" x14ac:dyDescent="0.25">
      <c r="A152">
        <v>151</v>
      </c>
      <c r="C152" t="s">
        <v>11</v>
      </c>
      <c r="D152" t="s">
        <v>1197</v>
      </c>
      <c r="E152" t="s">
        <v>197</v>
      </c>
      <c r="H152" t="s">
        <v>1204</v>
      </c>
      <c r="I152" t="s">
        <v>219</v>
      </c>
      <c r="J152">
        <v>1342</v>
      </c>
      <c r="K152" t="s">
        <v>198</v>
      </c>
      <c r="L152">
        <v>17</v>
      </c>
      <c r="M152" s="7" t="s">
        <v>338</v>
      </c>
      <c r="N152" t="s">
        <v>236</v>
      </c>
      <c r="O152" t="s">
        <v>201</v>
      </c>
      <c r="P152" t="s">
        <v>225</v>
      </c>
      <c r="Q152" s="19" t="s">
        <v>205</v>
      </c>
      <c r="R152" t="s">
        <v>205</v>
      </c>
      <c r="S152" t="s">
        <v>205</v>
      </c>
      <c r="T152" t="s">
        <v>225</v>
      </c>
      <c r="U152" t="s">
        <v>277</v>
      </c>
      <c r="W152" t="s">
        <v>205</v>
      </c>
      <c r="X152" t="s">
        <v>205</v>
      </c>
      <c r="Y152" t="s">
        <v>205</v>
      </c>
      <c r="Z152" t="s">
        <v>205</v>
      </c>
      <c r="AA152" t="s">
        <v>225</v>
      </c>
      <c r="AB152" t="s">
        <v>205</v>
      </c>
      <c r="AC152" t="s">
        <v>205</v>
      </c>
      <c r="AD152" t="s">
        <v>225</v>
      </c>
      <c r="AE152" t="s">
        <v>205</v>
      </c>
      <c r="AF152" t="s">
        <v>205</v>
      </c>
      <c r="AG152">
        <v>1</v>
      </c>
      <c r="AH152" t="s">
        <v>205</v>
      </c>
      <c r="AI152" t="s">
        <v>225</v>
      </c>
      <c r="AJ152" t="s">
        <v>225</v>
      </c>
      <c r="AK152" t="s">
        <v>225</v>
      </c>
      <c r="AL152" t="s">
        <v>225</v>
      </c>
      <c r="AM152" t="s">
        <v>225</v>
      </c>
      <c r="AN152" t="s">
        <v>225</v>
      </c>
      <c r="AO152" t="s">
        <v>225</v>
      </c>
      <c r="AP152" t="s">
        <v>225</v>
      </c>
      <c r="AQ152" t="s">
        <v>225</v>
      </c>
      <c r="AR152" t="s">
        <v>225</v>
      </c>
      <c r="AS152" t="s">
        <v>225</v>
      </c>
      <c r="AT152" t="s">
        <v>225</v>
      </c>
      <c r="AU152" t="s">
        <v>225</v>
      </c>
      <c r="AV152" t="s">
        <v>225</v>
      </c>
      <c r="AW152" t="s">
        <v>225</v>
      </c>
      <c r="AX152" t="s">
        <v>225</v>
      </c>
      <c r="AY152" t="s">
        <v>225</v>
      </c>
      <c r="AZ152" t="s">
        <v>225</v>
      </c>
      <c r="BA152" t="s">
        <v>225</v>
      </c>
      <c r="BB152" t="s">
        <v>225</v>
      </c>
      <c r="BC152" t="s">
        <v>225</v>
      </c>
      <c r="BD152" t="s">
        <v>225</v>
      </c>
      <c r="BE152" t="s">
        <v>225</v>
      </c>
      <c r="BF152" t="s">
        <v>225</v>
      </c>
      <c r="BG152" t="s">
        <v>225</v>
      </c>
      <c r="BH152" t="s">
        <v>225</v>
      </c>
      <c r="BI152" t="s">
        <v>225</v>
      </c>
      <c r="BJ152" t="s">
        <v>225</v>
      </c>
      <c r="BK152" t="s">
        <v>225</v>
      </c>
      <c r="BL152" t="s">
        <v>225</v>
      </c>
      <c r="BN152" t="s">
        <v>1215</v>
      </c>
      <c r="BO152" t="s">
        <v>1206</v>
      </c>
      <c r="BP152" t="s">
        <v>460</v>
      </c>
      <c r="BQ152" t="s">
        <v>3563</v>
      </c>
      <c r="BR152">
        <f>1+1/2</f>
        <v>1.5</v>
      </c>
      <c r="BS152">
        <v>0</v>
      </c>
      <c r="BT152">
        <v>0</v>
      </c>
      <c r="BU152" s="5">
        <f>(BS152/8+BT152/4)*39</f>
        <v>0</v>
      </c>
      <c r="BV152">
        <v>0</v>
      </c>
      <c r="BW152">
        <v>0</v>
      </c>
      <c r="BX152">
        <f>17+1/2+1/2</f>
        <v>18</v>
      </c>
      <c r="BY152">
        <v>3</v>
      </c>
      <c r="BZ152">
        <v>0</v>
      </c>
      <c r="CA152">
        <v>0</v>
      </c>
      <c r="CB152">
        <v>0</v>
      </c>
      <c r="CC152" s="5">
        <f>(BV152+BW152/2+BX152/8+BY152/16+BZ152/4+CA152/32)*39</f>
        <v>95.0625</v>
      </c>
      <c r="CD152">
        <v>0</v>
      </c>
      <c r="CE152">
        <v>0</v>
      </c>
      <c r="CF152">
        <f>15.5+1/2</f>
        <v>16</v>
      </c>
      <c r="CG152">
        <v>0</v>
      </c>
      <c r="CH152">
        <v>0</v>
      </c>
      <c r="CI152">
        <v>0</v>
      </c>
      <c r="CJ152">
        <v>0</v>
      </c>
      <c r="CK152">
        <v>0</v>
      </c>
      <c r="CL152" s="5">
        <f>(CD152+CE152/2+CF152/8+CG152/16+CH152/4+CJ152/32+CK152/16)*39</f>
        <v>78</v>
      </c>
      <c r="CM152">
        <v>0</v>
      </c>
      <c r="CN152">
        <v>0</v>
      </c>
      <c r="CO152">
        <v>0</v>
      </c>
      <c r="CP152">
        <v>0</v>
      </c>
      <c r="CQ152">
        <v>0</v>
      </c>
      <c r="CR152" t="s">
        <v>1214</v>
      </c>
      <c r="CS152">
        <f>20+9/12+2+5/12+11/12</f>
        <v>24.083333333333336</v>
      </c>
      <c r="CT152">
        <f>1/3</f>
        <v>0.33333333333333331</v>
      </c>
      <c r="CU152">
        <v>0</v>
      </c>
      <c r="CV152">
        <v>1</v>
      </c>
      <c r="CW152">
        <f>CS152+CT152/24+CU152/48+CV152/48</f>
        <v>24.118055555555557</v>
      </c>
      <c r="CX152">
        <v>0</v>
      </c>
      <c r="CY152" t="s">
        <v>248</v>
      </c>
      <c r="CZ152" t="s">
        <v>210</v>
      </c>
      <c r="DC152" t="s">
        <v>262</v>
      </c>
      <c r="DD152" t="s">
        <v>693</v>
      </c>
      <c r="DE152" t="s">
        <v>1216</v>
      </c>
      <c r="DF152" t="s">
        <v>1217</v>
      </c>
      <c r="DG152" t="s">
        <v>1218</v>
      </c>
    </row>
    <row r="153" spans="1:114" x14ac:dyDescent="0.25">
      <c r="A153">
        <v>1571</v>
      </c>
      <c r="B153" t="s">
        <v>788</v>
      </c>
      <c r="C153" t="s">
        <v>156</v>
      </c>
      <c r="D153" t="s">
        <v>2707</v>
      </c>
      <c r="E153" t="s">
        <v>2653</v>
      </c>
      <c r="H153" t="s">
        <v>2708</v>
      </c>
      <c r="I153" t="s">
        <v>219</v>
      </c>
      <c r="J153" s="5">
        <v>1343</v>
      </c>
      <c r="K153" t="s">
        <v>817</v>
      </c>
      <c r="L153">
        <v>19</v>
      </c>
      <c r="M153" s="7" t="s">
        <v>338</v>
      </c>
      <c r="N153" t="s">
        <v>358</v>
      </c>
      <c r="P153" t="s">
        <v>225</v>
      </c>
      <c r="Q153" t="s">
        <v>205</v>
      </c>
      <c r="R153" t="s">
        <v>205</v>
      </c>
      <c r="S153" t="s">
        <v>205</v>
      </c>
      <c r="T153" t="s">
        <v>225</v>
      </c>
      <c r="U153" t="s">
        <v>277</v>
      </c>
      <c r="V153" t="s">
        <v>1463</v>
      </c>
      <c r="W153">
        <v>1</v>
      </c>
      <c r="X153">
        <v>1</v>
      </c>
      <c r="Y153">
        <v>1</v>
      </c>
      <c r="Z153" t="s">
        <v>225</v>
      </c>
      <c r="AA153" t="s">
        <v>225</v>
      </c>
      <c r="AB153" t="s">
        <v>225</v>
      </c>
      <c r="AC153">
        <v>1</v>
      </c>
      <c r="AD153" t="s">
        <v>225</v>
      </c>
      <c r="AE153" t="s">
        <v>225</v>
      </c>
      <c r="AF153" t="s">
        <v>225</v>
      </c>
      <c r="AG153" t="s">
        <v>225</v>
      </c>
      <c r="AH153" t="s">
        <v>225</v>
      </c>
      <c r="AI153" t="s">
        <v>225</v>
      </c>
      <c r="AJ153" t="s">
        <v>225</v>
      </c>
      <c r="AK153" t="s">
        <v>225</v>
      </c>
      <c r="AL153" t="s">
        <v>225</v>
      </c>
      <c r="AM153" t="s">
        <v>225</v>
      </c>
      <c r="AN153" t="s">
        <v>225</v>
      </c>
      <c r="AO153" t="s">
        <v>225</v>
      </c>
      <c r="AP153">
        <v>6</v>
      </c>
      <c r="AQ153" t="s">
        <v>225</v>
      </c>
      <c r="AR153" t="s">
        <v>225</v>
      </c>
      <c r="AS153" t="s">
        <v>225</v>
      </c>
      <c r="AT153" t="s">
        <v>225</v>
      </c>
      <c r="AU153" t="s">
        <v>225</v>
      </c>
      <c r="AV153" t="s">
        <v>225</v>
      </c>
      <c r="AW153" t="s">
        <v>225</v>
      </c>
      <c r="AX153" t="s">
        <v>225</v>
      </c>
      <c r="AY153" t="s">
        <v>225</v>
      </c>
      <c r="AZ153" t="s">
        <v>225</v>
      </c>
      <c r="BA153" t="s">
        <v>225</v>
      </c>
      <c r="BB153" t="s">
        <v>225</v>
      </c>
      <c r="BC153" t="s">
        <v>225</v>
      </c>
      <c r="BD153" t="s">
        <v>225</v>
      </c>
      <c r="BE153" t="s">
        <v>225</v>
      </c>
      <c r="BF153" t="s">
        <v>225</v>
      </c>
      <c r="BG153" t="s">
        <v>225</v>
      </c>
      <c r="BH153" t="s">
        <v>225</v>
      </c>
      <c r="BI153" t="s">
        <v>225</v>
      </c>
      <c r="BJ153" t="s">
        <v>225</v>
      </c>
      <c r="BK153" t="s">
        <v>225</v>
      </c>
      <c r="BL153" t="s">
        <v>225</v>
      </c>
      <c r="BN153" t="s">
        <v>2722</v>
      </c>
      <c r="BO153" t="s">
        <v>2718</v>
      </c>
      <c r="BP153" t="s">
        <v>461</v>
      </c>
      <c r="BQ153" t="s">
        <v>539</v>
      </c>
      <c r="BR153" s="5">
        <f>1/5</f>
        <v>0.2</v>
      </c>
      <c r="BS153" s="5">
        <v>0</v>
      </c>
      <c r="BT153" s="5">
        <v>0</v>
      </c>
      <c r="BU153" s="5">
        <f>(BS153/8+BT153/4)*39</f>
        <v>0</v>
      </c>
      <c r="BV153" s="5">
        <v>0</v>
      </c>
      <c r="BW153" s="5">
        <v>0</v>
      </c>
      <c r="BX153" s="5">
        <v>1</v>
      </c>
      <c r="BY153" s="5">
        <v>1</v>
      </c>
      <c r="BZ153" s="5">
        <v>0</v>
      </c>
      <c r="CA153" s="5">
        <v>0</v>
      </c>
      <c r="CB153" s="5">
        <v>0</v>
      </c>
      <c r="CC153" s="5">
        <f>(BV153+BW153/2+BX153/8+BY153/16+BZ153/4+CA153/32)*39</f>
        <v>7.3125</v>
      </c>
      <c r="CD153" s="5">
        <v>0</v>
      </c>
      <c r="CE153" s="5">
        <v>0</v>
      </c>
      <c r="CF153" s="5">
        <f>1/2</f>
        <v>0.5</v>
      </c>
      <c r="CG153" s="5">
        <v>0</v>
      </c>
      <c r="CH153" s="5">
        <v>0</v>
      </c>
      <c r="CI153" s="5">
        <v>0</v>
      </c>
      <c r="CJ153" s="5">
        <v>0</v>
      </c>
      <c r="CK153" s="5">
        <v>0</v>
      </c>
      <c r="CL153" s="5">
        <f>(CD153+CE153/2+CF153/8+CG153/16+CH153/4+CJ153/32+CK153/16)*39</f>
        <v>2.4375</v>
      </c>
      <c r="CM153" s="5">
        <v>0</v>
      </c>
      <c r="CN153" s="5">
        <v>0</v>
      </c>
      <c r="CO153" s="5">
        <v>0</v>
      </c>
      <c r="CP153" s="5">
        <v>0</v>
      </c>
      <c r="CQ153" s="5">
        <v>0</v>
      </c>
      <c r="CS153">
        <f>14/12</f>
        <v>1.1666666666666667</v>
      </c>
      <c r="CT153">
        <v>0</v>
      </c>
      <c r="CU153">
        <v>0</v>
      </c>
      <c r="CV153">
        <v>0</v>
      </c>
      <c r="CW153">
        <f>CS153+CT153/24+CU153/48+CV153/48</f>
        <v>1.1666666666666667</v>
      </c>
      <c r="CX153">
        <v>0</v>
      </c>
      <c r="CY153" t="s">
        <v>2723</v>
      </c>
      <c r="CZ153" t="s">
        <v>210</v>
      </c>
      <c r="DA153" t="s">
        <v>1733</v>
      </c>
      <c r="DB153" t="s">
        <v>2724</v>
      </c>
      <c r="DC153" t="s">
        <v>262</v>
      </c>
      <c r="DD153" t="s">
        <v>693</v>
      </c>
      <c r="DE153" t="s">
        <v>2725</v>
      </c>
      <c r="DF153" t="s">
        <v>2726</v>
      </c>
    </row>
    <row r="154" spans="1:114" x14ac:dyDescent="0.25">
      <c r="A154">
        <v>1822</v>
      </c>
      <c r="C154" t="s">
        <v>165</v>
      </c>
      <c r="D154" t="s">
        <v>3393</v>
      </c>
      <c r="E154" t="s">
        <v>3406</v>
      </c>
      <c r="G154" t="s">
        <v>3395</v>
      </c>
      <c r="H154" t="s">
        <v>3396</v>
      </c>
      <c r="I154" t="s">
        <v>219</v>
      </c>
      <c r="J154" s="5">
        <v>1344</v>
      </c>
      <c r="K154" s="5" t="s">
        <v>817</v>
      </c>
      <c r="L154" s="6">
        <v>15</v>
      </c>
      <c r="M154" s="7" t="s">
        <v>338</v>
      </c>
      <c r="V154" t="s">
        <v>1463</v>
      </c>
      <c r="W154" t="s">
        <v>225</v>
      </c>
      <c r="X154" t="s">
        <v>225</v>
      </c>
      <c r="Y154" t="s">
        <v>225</v>
      </c>
      <c r="Z154" t="s">
        <v>225</v>
      </c>
      <c r="AA154" t="s">
        <v>225</v>
      </c>
      <c r="AB154" t="s">
        <v>225</v>
      </c>
      <c r="AC154" t="s">
        <v>225</v>
      </c>
      <c r="AD154" t="s">
        <v>205</v>
      </c>
      <c r="AE154" t="s">
        <v>225</v>
      </c>
      <c r="AF154" t="s">
        <v>225</v>
      </c>
      <c r="AG154" t="s">
        <v>225</v>
      </c>
      <c r="AH154" t="s">
        <v>225</v>
      </c>
      <c r="AI154" t="s">
        <v>225</v>
      </c>
      <c r="AJ154" t="s">
        <v>225</v>
      </c>
      <c r="AK154" t="s">
        <v>225</v>
      </c>
      <c r="AL154" t="s">
        <v>225</v>
      </c>
      <c r="AM154" t="s">
        <v>225</v>
      </c>
      <c r="AN154" t="s">
        <v>225</v>
      </c>
      <c r="AO154" t="s">
        <v>225</v>
      </c>
      <c r="AP154" t="s">
        <v>225</v>
      </c>
      <c r="AQ154" t="s">
        <v>225</v>
      </c>
      <c r="AR154" t="s">
        <v>225</v>
      </c>
      <c r="AS154" t="s">
        <v>225</v>
      </c>
      <c r="AT154" t="s">
        <v>225</v>
      </c>
      <c r="AU154" t="s">
        <v>225</v>
      </c>
      <c r="AV154" t="s">
        <v>225</v>
      </c>
      <c r="AW154" t="s">
        <v>225</v>
      </c>
      <c r="AX154" t="s">
        <v>225</v>
      </c>
      <c r="AY154" t="s">
        <v>225</v>
      </c>
      <c r="AZ154" t="s">
        <v>225</v>
      </c>
      <c r="BA154" t="s">
        <v>225</v>
      </c>
      <c r="BB154" t="s">
        <v>225</v>
      </c>
      <c r="BC154" t="s">
        <v>225</v>
      </c>
      <c r="BD154" t="s">
        <v>225</v>
      </c>
      <c r="BE154" t="s">
        <v>225</v>
      </c>
      <c r="BF154" t="s">
        <v>225</v>
      </c>
      <c r="BG154" t="s">
        <v>225</v>
      </c>
      <c r="BH154" t="s">
        <v>225</v>
      </c>
      <c r="BI154" t="s">
        <v>225</v>
      </c>
      <c r="BJ154" t="s">
        <v>225</v>
      </c>
      <c r="BK154" t="s">
        <v>225</v>
      </c>
      <c r="BL154" t="s">
        <v>225</v>
      </c>
      <c r="BN154" t="s">
        <v>1370</v>
      </c>
      <c r="BP154" t="s">
        <v>3389</v>
      </c>
      <c r="BQ154" t="s">
        <v>539</v>
      </c>
      <c r="BR154" s="5">
        <v>0</v>
      </c>
      <c r="BS154" s="5">
        <v>0</v>
      </c>
      <c r="BT154" s="5">
        <v>0</v>
      </c>
      <c r="BU154" s="5">
        <f>(BS154/8+BT154/4)*39</f>
        <v>0</v>
      </c>
      <c r="BV154" s="5">
        <v>0</v>
      </c>
      <c r="BW154" s="5">
        <v>0</v>
      </c>
      <c r="BX154" s="5">
        <v>0</v>
      </c>
      <c r="BY154" s="5">
        <v>0</v>
      </c>
      <c r="BZ154" s="5">
        <v>0</v>
      </c>
      <c r="CA154" s="5">
        <v>0</v>
      </c>
      <c r="CB154" s="5">
        <v>0</v>
      </c>
      <c r="CC154" s="5">
        <f>(BV154+BW154/2+BX154/8+BY154/16+BZ154/4+CA154/32)*39</f>
        <v>0</v>
      </c>
      <c r="CD154" s="5">
        <v>0</v>
      </c>
      <c r="CE154" s="5">
        <v>0</v>
      </c>
      <c r="CF154" s="5">
        <v>1</v>
      </c>
      <c r="CG154" s="5">
        <v>0</v>
      </c>
      <c r="CH154" s="5">
        <v>0</v>
      </c>
      <c r="CI154" s="5">
        <v>0</v>
      </c>
      <c r="CJ154" s="5">
        <v>0</v>
      </c>
      <c r="CK154" s="5">
        <v>0</v>
      </c>
      <c r="CL154" s="5">
        <f>(CD154+CE154/2+CF154/8+CG154/16+CH154/4+CJ154/32+CK154/16)*39</f>
        <v>4.875</v>
      </c>
      <c r="CM154" s="5">
        <v>0</v>
      </c>
      <c r="CN154" s="5">
        <v>0</v>
      </c>
      <c r="CO154" s="5">
        <v>0</v>
      </c>
      <c r="CP154" s="5">
        <v>0</v>
      </c>
      <c r="CQ154" s="5">
        <v>0</v>
      </c>
      <c r="CR154" t="s">
        <v>3404</v>
      </c>
      <c r="CS154">
        <v>0</v>
      </c>
      <c r="CT154">
        <v>0</v>
      </c>
      <c r="CU154">
        <v>0</v>
      </c>
      <c r="CV154">
        <v>0</v>
      </c>
      <c r="CW154">
        <f>CS154+CT154/24+CU154/48+CV154/48</f>
        <v>0</v>
      </c>
      <c r="CX154">
        <v>0</v>
      </c>
      <c r="CZ154" t="s">
        <v>210</v>
      </c>
      <c r="DC154" t="s">
        <v>262</v>
      </c>
      <c r="DD154" t="s">
        <v>693</v>
      </c>
      <c r="DE154" t="s">
        <v>945</v>
      </c>
      <c r="DF154" t="s">
        <v>3410</v>
      </c>
    </row>
    <row r="155" spans="1:114" x14ac:dyDescent="0.25">
      <c r="A155">
        <v>1824</v>
      </c>
      <c r="C155" t="s">
        <v>465</v>
      </c>
      <c r="D155" t="s">
        <v>3393</v>
      </c>
      <c r="E155" t="s">
        <v>3406</v>
      </c>
      <c r="I155" t="s">
        <v>219</v>
      </c>
      <c r="J155" s="5">
        <v>1344</v>
      </c>
      <c r="K155" s="5" t="s">
        <v>817</v>
      </c>
      <c r="L155" s="6">
        <v>15</v>
      </c>
      <c r="M155" s="7" t="s">
        <v>338</v>
      </c>
      <c r="V155" t="s">
        <v>1463</v>
      </c>
      <c r="W155">
        <v>1</v>
      </c>
      <c r="X155" t="s">
        <v>225</v>
      </c>
      <c r="Y155" t="s">
        <v>225</v>
      </c>
      <c r="Z155" t="s">
        <v>225</v>
      </c>
      <c r="AA155" t="s">
        <v>225</v>
      </c>
      <c r="AB155" t="s">
        <v>225</v>
      </c>
      <c r="AC155" t="s">
        <v>225</v>
      </c>
      <c r="AD155" t="s">
        <v>225</v>
      </c>
      <c r="AE155" t="s">
        <v>225</v>
      </c>
      <c r="AF155" t="s">
        <v>225</v>
      </c>
      <c r="AG155" t="s">
        <v>225</v>
      </c>
      <c r="AH155" t="s">
        <v>225</v>
      </c>
      <c r="AI155" t="s">
        <v>225</v>
      </c>
      <c r="AJ155" t="s">
        <v>225</v>
      </c>
      <c r="AK155" t="s">
        <v>225</v>
      </c>
      <c r="AL155" t="s">
        <v>225</v>
      </c>
      <c r="AM155" t="s">
        <v>225</v>
      </c>
      <c r="AN155" t="s">
        <v>225</v>
      </c>
      <c r="AO155" t="s">
        <v>225</v>
      </c>
      <c r="AP155" t="s">
        <v>225</v>
      </c>
      <c r="AQ155" t="s">
        <v>225</v>
      </c>
      <c r="AR155" t="s">
        <v>225</v>
      </c>
      <c r="AS155" t="s">
        <v>225</v>
      </c>
      <c r="AT155" t="s">
        <v>225</v>
      </c>
      <c r="AU155" t="s">
        <v>225</v>
      </c>
      <c r="AV155" t="s">
        <v>225</v>
      </c>
      <c r="AW155" t="s">
        <v>225</v>
      </c>
      <c r="AX155" t="s">
        <v>225</v>
      </c>
      <c r="AY155" t="s">
        <v>225</v>
      </c>
      <c r="AZ155" t="s">
        <v>225</v>
      </c>
      <c r="BA155" t="s">
        <v>225</v>
      </c>
      <c r="BB155" t="s">
        <v>225</v>
      </c>
      <c r="BC155" t="s">
        <v>225</v>
      </c>
      <c r="BD155" t="s">
        <v>225</v>
      </c>
      <c r="BE155" t="s">
        <v>225</v>
      </c>
      <c r="BF155" t="s">
        <v>225</v>
      </c>
      <c r="BG155" t="s">
        <v>225</v>
      </c>
      <c r="BH155" t="s">
        <v>225</v>
      </c>
      <c r="BI155" t="s">
        <v>225</v>
      </c>
      <c r="BJ155" t="s">
        <v>225</v>
      </c>
      <c r="BK155" t="s">
        <v>225</v>
      </c>
      <c r="BL155" t="s">
        <v>225</v>
      </c>
      <c r="BN155" t="s">
        <v>389</v>
      </c>
      <c r="BQ155" t="s">
        <v>539</v>
      </c>
      <c r="BR155" s="5">
        <v>0</v>
      </c>
      <c r="BS155" s="5">
        <v>0</v>
      </c>
      <c r="BT155" s="5">
        <v>0</v>
      </c>
      <c r="BU155" s="5">
        <f>(BS155/8+BT155/4)*39</f>
        <v>0</v>
      </c>
      <c r="BV155" s="5">
        <v>0</v>
      </c>
      <c r="BW155" s="5">
        <v>0</v>
      </c>
      <c r="BX155" s="5">
        <v>0</v>
      </c>
      <c r="BY155" s="5">
        <v>0</v>
      </c>
      <c r="BZ155" s="5">
        <v>0</v>
      </c>
      <c r="CA155" s="5">
        <v>0</v>
      </c>
      <c r="CB155" s="5">
        <v>0</v>
      </c>
      <c r="CC155" s="5">
        <f>(BV155+BW155/2+BX155/8+BY155/16+BZ155/4+CA155/32)*39</f>
        <v>0</v>
      </c>
      <c r="CD155" s="5">
        <v>0</v>
      </c>
      <c r="CE155" s="5">
        <v>0</v>
      </c>
      <c r="CF155" s="5">
        <f>1/2</f>
        <v>0.5</v>
      </c>
      <c r="CG155" s="5">
        <v>0</v>
      </c>
      <c r="CH155" s="5">
        <v>0</v>
      </c>
      <c r="CI155" s="5">
        <v>0</v>
      </c>
      <c r="CJ155" s="5">
        <v>0</v>
      </c>
      <c r="CK155" s="5">
        <v>0</v>
      </c>
      <c r="CL155" s="5">
        <f>(CD155+CE155/2+CF155/8+CG155/16+CH155/4+CJ155/32+CK155/16)*39</f>
        <v>2.4375</v>
      </c>
      <c r="CM155" s="5">
        <v>0</v>
      </c>
      <c r="CN155" s="5">
        <v>0</v>
      </c>
      <c r="CO155" s="5">
        <v>0</v>
      </c>
      <c r="CP155" s="5">
        <v>0</v>
      </c>
      <c r="CQ155" s="5">
        <v>0</v>
      </c>
      <c r="CR155" t="s">
        <v>389</v>
      </c>
      <c r="CS155">
        <v>0</v>
      </c>
      <c r="CT155">
        <v>0</v>
      </c>
      <c r="CU155">
        <v>0</v>
      </c>
      <c r="CV155">
        <v>0</v>
      </c>
      <c r="CW155">
        <f>CS155+CT155/24+CU155/48+CV155/48</f>
        <v>0</v>
      </c>
      <c r="CX155">
        <v>0</v>
      </c>
      <c r="CZ155" t="s">
        <v>210</v>
      </c>
      <c r="DB155" t="s">
        <v>3326</v>
      </c>
      <c r="DC155" t="s">
        <v>262</v>
      </c>
      <c r="DD155" t="s">
        <v>693</v>
      </c>
      <c r="DE155" t="s">
        <v>945</v>
      </c>
      <c r="DF155" t="s">
        <v>3410</v>
      </c>
    </row>
    <row r="156" spans="1:114" x14ac:dyDescent="0.25">
      <c r="A156">
        <v>1823</v>
      </c>
      <c r="C156" t="s">
        <v>164</v>
      </c>
      <c r="D156" t="s">
        <v>3405</v>
      </c>
      <c r="E156" t="s">
        <v>3406</v>
      </c>
      <c r="I156" t="s">
        <v>220</v>
      </c>
      <c r="J156" s="5">
        <v>1344</v>
      </c>
      <c r="K156" s="5" t="s">
        <v>817</v>
      </c>
      <c r="L156" s="6">
        <v>15</v>
      </c>
      <c r="M156" s="7" t="s">
        <v>338</v>
      </c>
      <c r="V156" t="s">
        <v>1463</v>
      </c>
      <c r="W156" t="s">
        <v>225</v>
      </c>
      <c r="X156" t="s">
        <v>225</v>
      </c>
      <c r="Y156" t="s">
        <v>225</v>
      </c>
      <c r="Z156" t="s">
        <v>225</v>
      </c>
      <c r="AA156" t="s">
        <v>225</v>
      </c>
      <c r="AB156" t="s">
        <v>225</v>
      </c>
      <c r="AC156" t="s">
        <v>225</v>
      </c>
      <c r="AD156" t="s">
        <v>205</v>
      </c>
      <c r="AE156" t="s">
        <v>225</v>
      </c>
      <c r="AF156" t="s">
        <v>225</v>
      </c>
      <c r="AG156" t="s">
        <v>225</v>
      </c>
      <c r="AH156" t="s">
        <v>225</v>
      </c>
      <c r="AI156" t="s">
        <v>225</v>
      </c>
      <c r="AJ156" t="s">
        <v>225</v>
      </c>
      <c r="AK156" t="s">
        <v>225</v>
      </c>
      <c r="AL156" t="s">
        <v>225</v>
      </c>
      <c r="AM156" t="s">
        <v>225</v>
      </c>
      <c r="AN156" t="s">
        <v>225</v>
      </c>
      <c r="AO156" t="s">
        <v>225</v>
      </c>
      <c r="AP156" t="s">
        <v>225</v>
      </c>
      <c r="AQ156" t="s">
        <v>225</v>
      </c>
      <c r="AR156" t="s">
        <v>225</v>
      </c>
      <c r="AS156" t="s">
        <v>225</v>
      </c>
      <c r="AT156" t="s">
        <v>225</v>
      </c>
      <c r="AU156" t="s">
        <v>225</v>
      </c>
      <c r="AV156" t="s">
        <v>225</v>
      </c>
      <c r="AW156" t="s">
        <v>225</v>
      </c>
      <c r="AX156" t="s">
        <v>225</v>
      </c>
      <c r="AY156" t="s">
        <v>225</v>
      </c>
      <c r="AZ156" t="s">
        <v>225</v>
      </c>
      <c r="BA156" t="s">
        <v>225</v>
      </c>
      <c r="BB156" t="s">
        <v>225</v>
      </c>
      <c r="BC156" t="s">
        <v>225</v>
      </c>
      <c r="BD156" t="s">
        <v>225</v>
      </c>
      <c r="BE156" t="s">
        <v>225</v>
      </c>
      <c r="BF156" t="s">
        <v>225</v>
      </c>
      <c r="BG156" t="s">
        <v>225</v>
      </c>
      <c r="BH156" t="s">
        <v>225</v>
      </c>
      <c r="BI156" t="s">
        <v>225</v>
      </c>
      <c r="BJ156" t="s">
        <v>225</v>
      </c>
      <c r="BK156" t="s">
        <v>225</v>
      </c>
      <c r="BL156" t="s">
        <v>225</v>
      </c>
      <c r="BN156" t="s">
        <v>791</v>
      </c>
      <c r="BQ156" t="s">
        <v>539</v>
      </c>
      <c r="BR156" s="5">
        <v>0</v>
      </c>
      <c r="BS156" s="5">
        <v>0</v>
      </c>
      <c r="BT156" s="5">
        <v>0</v>
      </c>
      <c r="BU156" s="5">
        <f>(BS156/8+BT156/4)*39</f>
        <v>0</v>
      </c>
      <c r="BV156" s="5">
        <v>0</v>
      </c>
      <c r="BW156" s="5">
        <v>0</v>
      </c>
      <c r="BX156" s="5">
        <v>0</v>
      </c>
      <c r="BY156" s="5">
        <v>0</v>
      </c>
      <c r="BZ156" s="5">
        <v>0</v>
      </c>
      <c r="CA156" s="5">
        <v>0</v>
      </c>
      <c r="CB156" s="5">
        <v>0</v>
      </c>
      <c r="CC156" s="5">
        <f>(BV156+BW156/2+BX156/8+BY156/16+BZ156/4+CA156/32)*39</f>
        <v>0</v>
      </c>
      <c r="CD156" s="5">
        <v>0</v>
      </c>
      <c r="CE156" s="5">
        <v>0</v>
      </c>
      <c r="CF156" s="5">
        <v>5</v>
      </c>
      <c r="CG156" s="5">
        <v>0</v>
      </c>
      <c r="CH156" s="5">
        <v>0</v>
      </c>
      <c r="CI156" s="5">
        <v>0</v>
      </c>
      <c r="CJ156" s="5">
        <v>0</v>
      </c>
      <c r="CK156" s="5">
        <v>0</v>
      </c>
      <c r="CL156" s="5">
        <f>(CD156+CE156/2+CF156/8+CG156/16+CH156/4+CJ156/32+CK156/16)*39</f>
        <v>24.375</v>
      </c>
      <c r="CM156" s="5">
        <v>0</v>
      </c>
      <c r="CN156" s="5">
        <v>0</v>
      </c>
      <c r="CO156" s="5">
        <v>0</v>
      </c>
      <c r="CP156" s="5">
        <v>0</v>
      </c>
      <c r="CQ156" s="5">
        <v>0</v>
      </c>
      <c r="CR156" t="s">
        <v>791</v>
      </c>
      <c r="CS156">
        <v>0</v>
      </c>
      <c r="CT156">
        <v>0</v>
      </c>
      <c r="CU156">
        <v>0</v>
      </c>
      <c r="CV156">
        <v>0</v>
      </c>
      <c r="CW156">
        <f>CS156+CT156/24+CU156/48+CV156/48</f>
        <v>0</v>
      </c>
      <c r="CX156">
        <v>0</v>
      </c>
      <c r="CZ156" t="s">
        <v>210</v>
      </c>
      <c r="DB156" t="s">
        <v>3326</v>
      </c>
      <c r="DC156" t="s">
        <v>262</v>
      </c>
      <c r="DD156" t="s">
        <v>693</v>
      </c>
      <c r="DE156" t="s">
        <v>945</v>
      </c>
      <c r="DF156" t="s">
        <v>3410</v>
      </c>
    </row>
    <row r="157" spans="1:114" x14ac:dyDescent="0.25">
      <c r="A157">
        <v>1751</v>
      </c>
      <c r="B157" t="s">
        <v>788</v>
      </c>
      <c r="C157" t="s">
        <v>3152</v>
      </c>
      <c r="D157" t="s">
        <v>3153</v>
      </c>
      <c r="E157" t="s">
        <v>2653</v>
      </c>
      <c r="I157" t="s">
        <v>220</v>
      </c>
      <c r="J157" s="5">
        <v>1343</v>
      </c>
      <c r="K157" t="s">
        <v>383</v>
      </c>
      <c r="L157">
        <v>12</v>
      </c>
      <c r="M157" s="7" t="s">
        <v>338</v>
      </c>
      <c r="N157" t="s">
        <v>358</v>
      </c>
      <c r="P157" t="s">
        <v>225</v>
      </c>
      <c r="Q157" t="s">
        <v>205</v>
      </c>
      <c r="R157" t="s">
        <v>205</v>
      </c>
      <c r="S157" t="s">
        <v>205</v>
      </c>
      <c r="T157" t="s">
        <v>225</v>
      </c>
      <c r="V157" t="s">
        <v>1463</v>
      </c>
      <c r="W157">
        <v>1</v>
      </c>
      <c r="X157" t="s">
        <v>205</v>
      </c>
      <c r="Y157" t="s">
        <v>205</v>
      </c>
      <c r="Z157" t="s">
        <v>225</v>
      </c>
      <c r="AA157" t="s">
        <v>225</v>
      </c>
      <c r="AB157" t="s">
        <v>225</v>
      </c>
      <c r="AC157" t="s">
        <v>205</v>
      </c>
      <c r="AD157">
        <v>1</v>
      </c>
      <c r="AE157" t="s">
        <v>225</v>
      </c>
      <c r="AF157" t="s">
        <v>225</v>
      </c>
      <c r="AG157" t="s">
        <v>225</v>
      </c>
      <c r="AH157" t="s">
        <v>225</v>
      </c>
      <c r="AI157" t="s">
        <v>225</v>
      </c>
      <c r="AJ157" t="s">
        <v>225</v>
      </c>
      <c r="AK157" t="s">
        <v>225</v>
      </c>
      <c r="AL157" t="s">
        <v>225</v>
      </c>
      <c r="AM157" t="s">
        <v>225</v>
      </c>
      <c r="AN157" t="s">
        <v>225</v>
      </c>
      <c r="AO157" t="s">
        <v>225</v>
      </c>
      <c r="AP157" t="s">
        <v>225</v>
      </c>
      <c r="AQ157" t="s">
        <v>225</v>
      </c>
      <c r="AR157" t="s">
        <v>225</v>
      </c>
      <c r="AS157" t="s">
        <v>225</v>
      </c>
      <c r="AT157" t="s">
        <v>225</v>
      </c>
      <c r="AU157" t="s">
        <v>225</v>
      </c>
      <c r="AV157" t="s">
        <v>225</v>
      </c>
      <c r="AW157" t="s">
        <v>225</v>
      </c>
      <c r="AX157" t="s">
        <v>225</v>
      </c>
      <c r="AY157" t="s">
        <v>225</v>
      </c>
      <c r="AZ157" t="s">
        <v>205</v>
      </c>
      <c r="BA157" t="s">
        <v>225</v>
      </c>
      <c r="BB157" t="s">
        <v>225</v>
      </c>
      <c r="BC157" t="s">
        <v>225</v>
      </c>
      <c r="BD157" t="s">
        <v>225</v>
      </c>
      <c r="BE157" t="s">
        <v>225</v>
      </c>
      <c r="BF157" t="s">
        <v>225</v>
      </c>
      <c r="BG157" t="s">
        <v>225</v>
      </c>
      <c r="BH157" t="s">
        <v>225</v>
      </c>
      <c r="BI157" t="s">
        <v>225</v>
      </c>
      <c r="BJ157" t="s">
        <v>225</v>
      </c>
      <c r="BK157" t="s">
        <v>225</v>
      </c>
      <c r="BL157" t="s">
        <v>225</v>
      </c>
      <c r="BN157" t="s">
        <v>3169</v>
      </c>
      <c r="BQ157" t="s">
        <v>539</v>
      </c>
      <c r="BR157" s="5">
        <f>1/2</f>
        <v>0.5</v>
      </c>
      <c r="BS157" s="5">
        <v>0</v>
      </c>
      <c r="BT157" s="5">
        <v>0</v>
      </c>
      <c r="BU157" s="5">
        <f>(BS157/8+BT157/4)*39</f>
        <v>0</v>
      </c>
      <c r="BV157" s="5">
        <v>0</v>
      </c>
      <c r="BW157" s="5">
        <v>0</v>
      </c>
      <c r="BX157" s="5">
        <f>1+1/2</f>
        <v>1.5</v>
      </c>
      <c r="BY157" s="5">
        <v>0</v>
      </c>
      <c r="BZ157" s="5">
        <v>0</v>
      </c>
      <c r="CA157" s="5">
        <v>0</v>
      </c>
      <c r="CB157" s="5">
        <v>0</v>
      </c>
      <c r="CC157" s="5">
        <f>(BV157+BW157/2+BX157/8+BY157/16+BZ157/4+CA157/32)*39</f>
        <v>7.3125</v>
      </c>
      <c r="CD157" s="5">
        <v>0</v>
      </c>
      <c r="CE157" s="5">
        <v>0</v>
      </c>
      <c r="CF157" s="5">
        <f>1/2+1/2</f>
        <v>1</v>
      </c>
      <c r="CG157" s="5">
        <v>0</v>
      </c>
      <c r="CH157" s="5">
        <v>0</v>
      </c>
      <c r="CI157" s="5">
        <v>0</v>
      </c>
      <c r="CJ157" s="5">
        <v>0</v>
      </c>
      <c r="CK157" s="5">
        <v>0</v>
      </c>
      <c r="CL157" s="5">
        <f>(CD157+CE157/2+CF157/8+CG157/16+CH157/4+CJ157/32+CK157/16)*39</f>
        <v>4.875</v>
      </c>
      <c r="CM157" s="5">
        <v>0</v>
      </c>
      <c r="CN157" s="5">
        <v>0</v>
      </c>
      <c r="CO157" s="5">
        <v>0</v>
      </c>
      <c r="CP157" s="5">
        <v>0</v>
      </c>
      <c r="CQ157" s="5">
        <v>0</v>
      </c>
      <c r="CR157" t="s">
        <v>3175</v>
      </c>
      <c r="CS157">
        <f>3+10/12+8/12</f>
        <v>4.5</v>
      </c>
      <c r="CT157">
        <f>1+1/3</f>
        <v>1.3333333333333333</v>
      </c>
      <c r="CU157">
        <v>0</v>
      </c>
      <c r="CV157">
        <v>0</v>
      </c>
      <c r="CW157">
        <f>CS157+CT157/24+CU157/48+CV157/48</f>
        <v>4.5555555555555554</v>
      </c>
      <c r="CX157">
        <v>0</v>
      </c>
      <c r="CY157" t="s">
        <v>248</v>
      </c>
      <c r="CZ157" t="s">
        <v>210</v>
      </c>
      <c r="DC157" t="s">
        <v>262</v>
      </c>
      <c r="DD157" t="s">
        <v>693</v>
      </c>
      <c r="DE157" t="s">
        <v>3167</v>
      </c>
      <c r="DF157" t="s">
        <v>3168</v>
      </c>
    </row>
    <row r="158" spans="1:114" x14ac:dyDescent="0.25">
      <c r="A158">
        <v>1781</v>
      </c>
      <c r="C158" t="s">
        <v>465</v>
      </c>
      <c r="D158" t="s">
        <v>3250</v>
      </c>
      <c r="E158" t="s">
        <v>77</v>
      </c>
      <c r="F158" t="s">
        <v>3251</v>
      </c>
      <c r="H158" t="s">
        <v>3252</v>
      </c>
      <c r="I158" t="s">
        <v>219</v>
      </c>
      <c r="J158" s="5">
        <v>1343</v>
      </c>
      <c r="K158" t="s">
        <v>1097</v>
      </c>
      <c r="L158">
        <v>21</v>
      </c>
      <c r="M158" s="7" t="s">
        <v>338</v>
      </c>
      <c r="N158" s="8" t="s">
        <v>1691</v>
      </c>
      <c r="V158" t="s">
        <v>1463</v>
      </c>
      <c r="W158" t="s">
        <v>225</v>
      </c>
      <c r="X158" t="s">
        <v>225</v>
      </c>
      <c r="Y158" t="s">
        <v>225</v>
      </c>
      <c r="Z158" t="s">
        <v>225</v>
      </c>
      <c r="AA158">
        <v>1</v>
      </c>
      <c r="AB158" t="s">
        <v>225</v>
      </c>
      <c r="AC158" t="s">
        <v>225</v>
      </c>
      <c r="AD158" t="s">
        <v>225</v>
      </c>
      <c r="AE158" t="s">
        <v>225</v>
      </c>
      <c r="AF158" t="s">
        <v>225</v>
      </c>
      <c r="AG158" t="s">
        <v>225</v>
      </c>
      <c r="AH158" t="s">
        <v>225</v>
      </c>
      <c r="AI158" t="s">
        <v>225</v>
      </c>
      <c r="AJ158" t="s">
        <v>225</v>
      </c>
      <c r="AK158" t="s">
        <v>225</v>
      </c>
      <c r="AL158" t="s">
        <v>225</v>
      </c>
      <c r="AM158" t="s">
        <v>225</v>
      </c>
      <c r="AN158" t="s">
        <v>225</v>
      </c>
      <c r="AO158" t="s">
        <v>225</v>
      </c>
      <c r="AP158" t="s">
        <v>225</v>
      </c>
      <c r="AQ158" t="s">
        <v>225</v>
      </c>
      <c r="AR158" t="s">
        <v>225</v>
      </c>
      <c r="AS158" t="s">
        <v>225</v>
      </c>
      <c r="AT158" t="s">
        <v>225</v>
      </c>
      <c r="AU158" t="s">
        <v>225</v>
      </c>
      <c r="AV158" t="s">
        <v>225</v>
      </c>
      <c r="AW158" t="s">
        <v>225</v>
      </c>
      <c r="AX158" t="s">
        <v>225</v>
      </c>
      <c r="AY158" t="s">
        <v>225</v>
      </c>
      <c r="AZ158" t="s">
        <v>225</v>
      </c>
      <c r="BA158" t="s">
        <v>225</v>
      </c>
      <c r="BB158" t="s">
        <v>225</v>
      </c>
      <c r="BC158" t="s">
        <v>225</v>
      </c>
      <c r="BD158" t="s">
        <v>225</v>
      </c>
      <c r="BE158" t="s">
        <v>225</v>
      </c>
      <c r="BF158" t="s">
        <v>225</v>
      </c>
      <c r="BG158" t="s">
        <v>225</v>
      </c>
      <c r="BH158" t="s">
        <v>225</v>
      </c>
      <c r="BI158" t="s">
        <v>225</v>
      </c>
      <c r="BJ158" t="s">
        <v>225</v>
      </c>
      <c r="BK158" t="s">
        <v>225</v>
      </c>
      <c r="BL158" t="s">
        <v>225</v>
      </c>
      <c r="BN158" t="s">
        <v>417</v>
      </c>
      <c r="BQ158" t="s">
        <v>539</v>
      </c>
      <c r="BR158" s="5">
        <v>0</v>
      </c>
      <c r="BS158" s="5">
        <v>0</v>
      </c>
      <c r="BT158" s="5">
        <v>0</v>
      </c>
      <c r="BU158" s="5">
        <f>(BS158/8+BT158/4)*39</f>
        <v>0</v>
      </c>
      <c r="BV158" s="5">
        <v>0</v>
      </c>
      <c r="BW158" s="5">
        <v>0</v>
      </c>
      <c r="BX158" s="5">
        <v>0</v>
      </c>
      <c r="BY158" s="5">
        <v>1</v>
      </c>
      <c r="BZ158" s="5">
        <v>0</v>
      </c>
      <c r="CA158" s="5">
        <v>0</v>
      </c>
      <c r="CB158" s="5">
        <v>0</v>
      </c>
      <c r="CC158" s="5">
        <f>(BV158+BW158/2+BX158/8+BY158/16+BZ158/4+CA158/32)*39</f>
        <v>2.4375</v>
      </c>
      <c r="CD158" s="5">
        <v>0</v>
      </c>
      <c r="CE158" s="5">
        <v>0</v>
      </c>
      <c r="CF158" s="5">
        <v>0</v>
      </c>
      <c r="CG158" s="5">
        <v>0</v>
      </c>
      <c r="CH158" s="5">
        <v>0</v>
      </c>
      <c r="CI158" s="5">
        <v>0</v>
      </c>
      <c r="CJ158" s="5">
        <v>0</v>
      </c>
      <c r="CK158" s="5">
        <v>0</v>
      </c>
      <c r="CL158" s="5">
        <f>(CD158+CE158/2+CF158/8+CG158/16+CH158/4+CJ158/32+CK158/16)*39</f>
        <v>0</v>
      </c>
      <c r="CM158" s="5">
        <v>0</v>
      </c>
      <c r="CN158" s="5">
        <v>0</v>
      </c>
      <c r="CO158" s="5">
        <v>0</v>
      </c>
      <c r="CP158" s="5">
        <v>0</v>
      </c>
      <c r="CQ158" s="5">
        <v>0</v>
      </c>
      <c r="CR158" t="s">
        <v>417</v>
      </c>
      <c r="CS158">
        <v>0</v>
      </c>
      <c r="CT158">
        <v>0</v>
      </c>
      <c r="CU158">
        <v>0</v>
      </c>
      <c r="CV158">
        <v>0</v>
      </c>
      <c r="CW158">
        <f>CS158+CT158/24+CU158/48+CV158/48</f>
        <v>0</v>
      </c>
      <c r="CX158">
        <v>0</v>
      </c>
      <c r="CZ158" t="s">
        <v>210</v>
      </c>
      <c r="DC158" t="s">
        <v>3261</v>
      </c>
      <c r="DD158" t="s">
        <v>693</v>
      </c>
      <c r="DE158" t="s">
        <v>1801</v>
      </c>
    </row>
    <row r="159" spans="1:114" x14ac:dyDescent="0.25">
      <c r="A159">
        <v>541</v>
      </c>
      <c r="C159" t="s">
        <v>39</v>
      </c>
      <c r="D159" t="s">
        <v>787</v>
      </c>
      <c r="E159" t="s">
        <v>68</v>
      </c>
      <c r="I159" t="s">
        <v>219</v>
      </c>
      <c r="J159">
        <v>1343</v>
      </c>
      <c r="K159" t="s">
        <v>249</v>
      </c>
      <c r="L159">
        <v>23</v>
      </c>
      <c r="M159" s="7" t="s">
        <v>338</v>
      </c>
      <c r="N159" t="s">
        <v>236</v>
      </c>
      <c r="O159" t="s">
        <v>201</v>
      </c>
      <c r="P159" t="s">
        <v>225</v>
      </c>
      <c r="Q159" t="s">
        <v>205</v>
      </c>
      <c r="R159" t="s">
        <v>205</v>
      </c>
      <c r="S159" t="s">
        <v>205</v>
      </c>
      <c r="T159" t="s">
        <v>225</v>
      </c>
      <c r="U159" t="s">
        <v>277</v>
      </c>
      <c r="V159" t="s">
        <v>204</v>
      </c>
      <c r="W159" t="s">
        <v>205</v>
      </c>
      <c r="X159" t="s">
        <v>205</v>
      </c>
      <c r="Y159" t="s">
        <v>205</v>
      </c>
      <c r="Z159" t="s">
        <v>205</v>
      </c>
      <c r="AA159" t="s">
        <v>225</v>
      </c>
      <c r="AB159" t="s">
        <v>205</v>
      </c>
      <c r="AC159" t="s">
        <v>205</v>
      </c>
      <c r="AD159" t="s">
        <v>225</v>
      </c>
      <c r="AE159" t="s">
        <v>225</v>
      </c>
      <c r="AF159" t="s">
        <v>225</v>
      </c>
      <c r="AG159" t="s">
        <v>225</v>
      </c>
      <c r="AH159" t="s">
        <v>205</v>
      </c>
      <c r="AI159" t="s">
        <v>225</v>
      </c>
      <c r="AJ159" t="s">
        <v>225</v>
      </c>
      <c r="AK159" t="s">
        <v>225</v>
      </c>
      <c r="AL159" t="s">
        <v>225</v>
      </c>
      <c r="AM159" t="s">
        <v>225</v>
      </c>
      <c r="AN159" t="s">
        <v>225</v>
      </c>
      <c r="AO159" t="s">
        <v>225</v>
      </c>
      <c r="AP159" t="s">
        <v>225</v>
      </c>
      <c r="AQ159" t="s">
        <v>225</v>
      </c>
      <c r="AR159" t="s">
        <v>225</v>
      </c>
      <c r="AS159" t="s">
        <v>225</v>
      </c>
      <c r="AT159" t="s">
        <v>225</v>
      </c>
      <c r="AU159" t="s">
        <v>225</v>
      </c>
      <c r="AV159" t="s">
        <v>225</v>
      </c>
      <c r="AW159" t="s">
        <v>225</v>
      </c>
      <c r="AX159" t="s">
        <v>225</v>
      </c>
      <c r="AY159" t="s">
        <v>225</v>
      </c>
      <c r="AZ159" t="s">
        <v>225</v>
      </c>
      <c r="BA159" t="s">
        <v>225</v>
      </c>
      <c r="BB159" t="s">
        <v>225</v>
      </c>
      <c r="BC159" t="s">
        <v>225</v>
      </c>
      <c r="BD159" t="s">
        <v>225</v>
      </c>
      <c r="BE159" t="s">
        <v>225</v>
      </c>
      <c r="BF159" t="s">
        <v>225</v>
      </c>
      <c r="BG159" t="s">
        <v>225</v>
      </c>
      <c r="BH159" t="s">
        <v>225</v>
      </c>
      <c r="BI159" t="s">
        <v>225</v>
      </c>
      <c r="BJ159" t="s">
        <v>225</v>
      </c>
      <c r="BK159" t="s">
        <v>225</v>
      </c>
      <c r="BL159" t="s">
        <v>205</v>
      </c>
      <c r="BM159" t="s">
        <v>1012</v>
      </c>
      <c r="BO159" t="s">
        <v>571</v>
      </c>
      <c r="BQ159" t="s">
        <v>3563</v>
      </c>
      <c r="BR159">
        <v>1</v>
      </c>
      <c r="BS159">
        <v>0</v>
      </c>
      <c r="BT159">
        <v>0</v>
      </c>
      <c r="BU159" s="5">
        <f>(BS159/8+BT159/4)*39</f>
        <v>0</v>
      </c>
      <c r="BV159">
        <v>2</v>
      </c>
      <c r="BW159">
        <v>0</v>
      </c>
      <c r="BX159">
        <v>0</v>
      </c>
      <c r="BY159">
        <v>0</v>
      </c>
      <c r="BZ159">
        <v>1</v>
      </c>
      <c r="CA159">
        <v>0</v>
      </c>
      <c r="CB159">
        <v>0</v>
      </c>
      <c r="CC159" s="5">
        <f>(BV159+BW159/2+BX159/8+BY159/16+BZ159/4+CA159/32)*39</f>
        <v>87.75</v>
      </c>
      <c r="CD159" s="8">
        <v>0</v>
      </c>
      <c r="CE159" s="8">
        <v>0</v>
      </c>
      <c r="CF159" s="8">
        <v>5.5</v>
      </c>
      <c r="CG159">
        <v>0</v>
      </c>
      <c r="CH159" s="8">
        <v>0</v>
      </c>
      <c r="CI159">
        <v>0</v>
      </c>
      <c r="CJ159">
        <v>0</v>
      </c>
      <c r="CK159" s="8">
        <v>0</v>
      </c>
      <c r="CL159" s="5">
        <f>(CD159+CE159/2+CF159/8+CG159/16+CH159/4+CJ159/32+CK159/16)*39</f>
        <v>26.8125</v>
      </c>
      <c r="CM159">
        <v>0</v>
      </c>
      <c r="CN159">
        <v>0</v>
      </c>
      <c r="CO159">
        <v>0</v>
      </c>
      <c r="CP159" s="8">
        <v>0</v>
      </c>
      <c r="CQ159" s="8">
        <v>0</v>
      </c>
      <c r="CS159">
        <v>6</v>
      </c>
      <c r="CT159">
        <v>0</v>
      </c>
      <c r="CU159">
        <v>0</v>
      </c>
      <c r="CV159" s="8">
        <v>0</v>
      </c>
      <c r="CW159">
        <f>CS159+CT159/24+CU159/48+CV159/48</f>
        <v>6</v>
      </c>
      <c r="CX159">
        <v>0</v>
      </c>
      <c r="CY159" t="s">
        <v>248</v>
      </c>
      <c r="CZ159" t="s">
        <v>210</v>
      </c>
      <c r="DA159" t="s">
        <v>589</v>
      </c>
      <c r="DB159" t="s">
        <v>405</v>
      </c>
      <c r="DC159" t="s">
        <v>262</v>
      </c>
      <c r="DD159" t="s">
        <v>693</v>
      </c>
      <c r="DE159" t="s">
        <v>572</v>
      </c>
      <c r="DF159" t="s">
        <v>573</v>
      </c>
      <c r="DG159" t="s">
        <v>574</v>
      </c>
      <c r="DJ159" t="s">
        <v>483</v>
      </c>
    </row>
    <row r="160" spans="1:114" x14ac:dyDescent="0.25">
      <c r="A160">
        <v>551</v>
      </c>
      <c r="C160" t="s">
        <v>23</v>
      </c>
      <c r="D160" t="s">
        <v>787</v>
      </c>
      <c r="E160" t="s">
        <v>68</v>
      </c>
      <c r="I160" t="s">
        <v>219</v>
      </c>
      <c r="J160">
        <v>1343</v>
      </c>
      <c r="K160" t="s">
        <v>249</v>
      </c>
      <c r="L160">
        <v>23</v>
      </c>
      <c r="M160" s="7" t="s">
        <v>338</v>
      </c>
      <c r="N160" t="s">
        <v>236</v>
      </c>
      <c r="O160" t="s">
        <v>201</v>
      </c>
      <c r="P160" t="s">
        <v>225</v>
      </c>
      <c r="Q160" t="s">
        <v>205</v>
      </c>
      <c r="R160" t="s">
        <v>205</v>
      </c>
      <c r="S160" t="s">
        <v>205</v>
      </c>
      <c r="T160" t="s">
        <v>225</v>
      </c>
      <c r="U160" t="s">
        <v>277</v>
      </c>
      <c r="V160" t="s">
        <v>204</v>
      </c>
      <c r="W160" t="s">
        <v>205</v>
      </c>
      <c r="X160" t="s">
        <v>205</v>
      </c>
      <c r="Y160" t="s">
        <v>205</v>
      </c>
      <c r="Z160" t="s">
        <v>205</v>
      </c>
      <c r="AA160" t="s">
        <v>205</v>
      </c>
      <c r="AB160" t="s">
        <v>205</v>
      </c>
      <c r="AC160" t="s">
        <v>205</v>
      </c>
      <c r="AD160" t="s">
        <v>225</v>
      </c>
      <c r="AE160" t="s">
        <v>205</v>
      </c>
      <c r="AF160" t="s">
        <v>205</v>
      </c>
      <c r="AG160" t="s">
        <v>225</v>
      </c>
      <c r="AH160" t="s">
        <v>225</v>
      </c>
      <c r="AI160" t="s">
        <v>225</v>
      </c>
      <c r="AJ160" t="s">
        <v>225</v>
      </c>
      <c r="AK160" t="s">
        <v>225</v>
      </c>
      <c r="AL160" t="s">
        <v>225</v>
      </c>
      <c r="AM160" t="s">
        <v>225</v>
      </c>
      <c r="AN160" t="s">
        <v>225</v>
      </c>
      <c r="AO160" t="s">
        <v>225</v>
      </c>
      <c r="AP160" t="s">
        <v>225</v>
      </c>
      <c r="AQ160" t="s">
        <v>225</v>
      </c>
      <c r="AR160" t="s">
        <v>225</v>
      </c>
      <c r="AS160" t="s">
        <v>225</v>
      </c>
      <c r="AT160" t="s">
        <v>225</v>
      </c>
      <c r="AU160" t="s">
        <v>225</v>
      </c>
      <c r="AV160" t="s">
        <v>225</v>
      </c>
      <c r="AW160" t="s">
        <v>225</v>
      </c>
      <c r="AX160" t="s">
        <v>225</v>
      </c>
      <c r="AY160" t="s">
        <v>225</v>
      </c>
      <c r="AZ160" t="s">
        <v>225</v>
      </c>
      <c r="BA160" t="s">
        <v>225</v>
      </c>
      <c r="BB160" t="s">
        <v>225</v>
      </c>
      <c r="BC160" t="s">
        <v>225</v>
      </c>
      <c r="BD160" t="s">
        <v>225</v>
      </c>
      <c r="BE160" t="s">
        <v>225</v>
      </c>
      <c r="BF160" t="s">
        <v>225</v>
      </c>
      <c r="BG160" t="s">
        <v>225</v>
      </c>
      <c r="BH160" t="s">
        <v>225</v>
      </c>
      <c r="BI160" t="s">
        <v>225</v>
      </c>
      <c r="BJ160" t="s">
        <v>225</v>
      </c>
      <c r="BK160" t="s">
        <v>225</v>
      </c>
      <c r="BL160" t="s">
        <v>205</v>
      </c>
      <c r="BO160" t="s">
        <v>571</v>
      </c>
      <c r="BQ160" t="s">
        <v>3563</v>
      </c>
      <c r="BR160">
        <f>1/3</f>
        <v>0.33333333333333331</v>
      </c>
      <c r="BS160">
        <v>0</v>
      </c>
      <c r="BT160">
        <v>0</v>
      </c>
      <c r="BU160" s="5">
        <f>(BS160/8+BT160/4)*39</f>
        <v>0</v>
      </c>
      <c r="BV160">
        <v>0</v>
      </c>
      <c r="BW160">
        <v>0</v>
      </c>
      <c r="BX160">
        <v>12</v>
      </c>
      <c r="BY160">
        <v>0</v>
      </c>
      <c r="BZ160">
        <v>0</v>
      </c>
      <c r="CA160">
        <v>0</v>
      </c>
      <c r="CB160">
        <v>0</v>
      </c>
      <c r="CC160" s="5">
        <f>(BV160+BW160/2+BX160/8+BY160/16+BZ160/4+CA160/32)*39</f>
        <v>58.5</v>
      </c>
      <c r="CD160" s="8">
        <v>0</v>
      </c>
      <c r="CE160" s="8">
        <v>0</v>
      </c>
      <c r="CF160" s="8">
        <f>3+1/6</f>
        <v>3.1666666666666665</v>
      </c>
      <c r="CG160">
        <v>0</v>
      </c>
      <c r="CH160" s="8">
        <v>0</v>
      </c>
      <c r="CI160">
        <v>0</v>
      </c>
      <c r="CJ160">
        <v>0</v>
      </c>
      <c r="CK160" s="8">
        <v>0</v>
      </c>
      <c r="CL160" s="5">
        <f>(CD160+CE160/2+CF160/8+CG160/16+CH160/4+CJ160/32+CK160/16)*39</f>
        <v>15.4375</v>
      </c>
      <c r="CM160">
        <v>0</v>
      </c>
      <c r="CN160">
        <v>0</v>
      </c>
      <c r="CO160">
        <v>0</v>
      </c>
      <c r="CP160" s="8">
        <v>0</v>
      </c>
      <c r="CQ160" s="8">
        <v>0</v>
      </c>
      <c r="CS160">
        <f>6+9/12+1/(3*12)</f>
        <v>6.7777777777777777</v>
      </c>
      <c r="CT160">
        <v>0</v>
      </c>
      <c r="CU160">
        <v>0</v>
      </c>
      <c r="CV160" s="8">
        <v>0</v>
      </c>
      <c r="CW160">
        <f>CS160+CT160/24+CU160/48+CV160/48</f>
        <v>6.7777777777777777</v>
      </c>
      <c r="CX160">
        <v>0</v>
      </c>
      <c r="CY160" t="s">
        <v>248</v>
      </c>
      <c r="CZ160" t="s">
        <v>210</v>
      </c>
      <c r="DA160" t="s">
        <v>589</v>
      </c>
      <c r="DB160" t="s">
        <v>405</v>
      </c>
      <c r="DC160" t="s">
        <v>262</v>
      </c>
      <c r="DD160" t="s">
        <v>693</v>
      </c>
      <c r="DE160" t="s">
        <v>572</v>
      </c>
      <c r="DF160" t="s">
        <v>573</v>
      </c>
      <c r="DG160" t="s">
        <v>574</v>
      </c>
      <c r="DJ160" t="s">
        <v>483</v>
      </c>
    </row>
    <row r="161" spans="1:114" x14ac:dyDescent="0.25">
      <c r="A161">
        <v>552</v>
      </c>
      <c r="C161" t="s">
        <v>1137</v>
      </c>
      <c r="D161" t="s">
        <v>787</v>
      </c>
      <c r="E161" t="s">
        <v>68</v>
      </c>
      <c r="I161" t="s">
        <v>219</v>
      </c>
      <c r="J161">
        <v>1343</v>
      </c>
      <c r="K161" t="s">
        <v>1082</v>
      </c>
      <c r="L161" s="5">
        <v>18</v>
      </c>
      <c r="M161" s="7" t="s">
        <v>338</v>
      </c>
      <c r="N161" t="s">
        <v>236</v>
      </c>
      <c r="O161" t="s">
        <v>201</v>
      </c>
      <c r="P161" t="s">
        <v>225</v>
      </c>
      <c r="Q161" t="s">
        <v>205</v>
      </c>
      <c r="R161" t="s">
        <v>205</v>
      </c>
      <c r="S161" t="s">
        <v>205</v>
      </c>
      <c r="T161" t="s">
        <v>225</v>
      </c>
      <c r="U161" t="s">
        <v>277</v>
      </c>
      <c r="V161" t="s">
        <v>204</v>
      </c>
      <c r="W161" t="s">
        <v>205</v>
      </c>
      <c r="X161" t="s">
        <v>205</v>
      </c>
      <c r="Y161" t="s">
        <v>205</v>
      </c>
      <c r="Z161" t="s">
        <v>205</v>
      </c>
      <c r="AA161" t="s">
        <v>225</v>
      </c>
      <c r="AB161" t="s">
        <v>205</v>
      </c>
      <c r="AC161" t="s">
        <v>205</v>
      </c>
      <c r="AD161" t="s">
        <v>225</v>
      </c>
      <c r="AE161" t="s">
        <v>205</v>
      </c>
      <c r="AF161" t="s">
        <v>225</v>
      </c>
      <c r="AG161" t="s">
        <v>225</v>
      </c>
      <c r="AH161" t="s">
        <v>205</v>
      </c>
      <c r="AI161" t="s">
        <v>225</v>
      </c>
      <c r="AJ161" t="s">
        <v>225</v>
      </c>
      <c r="AK161" t="s">
        <v>225</v>
      </c>
      <c r="AL161" t="s">
        <v>225</v>
      </c>
      <c r="AM161" t="s">
        <v>225</v>
      </c>
      <c r="AN161" t="s">
        <v>225</v>
      </c>
      <c r="AO161" t="s">
        <v>225</v>
      </c>
      <c r="AP161" t="s">
        <v>225</v>
      </c>
      <c r="AQ161" t="s">
        <v>225</v>
      </c>
      <c r="AR161" t="s">
        <v>225</v>
      </c>
      <c r="AS161" t="s">
        <v>225</v>
      </c>
      <c r="AT161" t="s">
        <v>225</v>
      </c>
      <c r="AU161" t="s">
        <v>225</v>
      </c>
      <c r="AV161" t="s">
        <v>225</v>
      </c>
      <c r="AW161" t="s">
        <v>225</v>
      </c>
      <c r="AX161" t="s">
        <v>225</v>
      </c>
      <c r="AY161" t="s">
        <v>225</v>
      </c>
      <c r="AZ161" t="s">
        <v>225</v>
      </c>
      <c r="BA161" t="s">
        <v>225</v>
      </c>
      <c r="BB161" t="s">
        <v>225</v>
      </c>
      <c r="BC161" t="s">
        <v>225</v>
      </c>
      <c r="BD161" t="s">
        <v>225</v>
      </c>
      <c r="BE161" t="s">
        <v>225</v>
      </c>
      <c r="BF161" t="s">
        <v>225</v>
      </c>
      <c r="BG161" t="s">
        <v>225</v>
      </c>
      <c r="BH161" t="s">
        <v>225</v>
      </c>
      <c r="BI161" t="s">
        <v>225</v>
      </c>
      <c r="BJ161" t="s">
        <v>225</v>
      </c>
      <c r="BK161" t="s">
        <v>225</v>
      </c>
      <c r="BL161" t="s">
        <v>205</v>
      </c>
      <c r="BO161" t="s">
        <v>571</v>
      </c>
      <c r="BQ161" t="s">
        <v>3563</v>
      </c>
      <c r="BR161">
        <f>1/5</f>
        <v>0.2</v>
      </c>
      <c r="BS161">
        <v>0</v>
      </c>
      <c r="BT161">
        <v>0</v>
      </c>
      <c r="BU161" s="5">
        <f>(BS161/8+BT161/4)*39</f>
        <v>0</v>
      </c>
      <c r="BV161">
        <v>0</v>
      </c>
      <c r="BW161">
        <v>1</v>
      </c>
      <c r="BX161">
        <v>0</v>
      </c>
      <c r="BY161">
        <v>0</v>
      </c>
      <c r="BZ161">
        <v>0</v>
      </c>
      <c r="CA161">
        <v>0</v>
      </c>
      <c r="CB161">
        <v>0</v>
      </c>
      <c r="CC161" s="5">
        <f>(BV161+BW161/2+BX161/8+BY161/16+BZ161/4+CA161/32)*39</f>
        <v>19.5</v>
      </c>
      <c r="CD161" s="8">
        <v>0</v>
      </c>
      <c r="CE161" s="8">
        <v>0</v>
      </c>
      <c r="CF161">
        <f>1+1/10</f>
        <v>1.1000000000000001</v>
      </c>
      <c r="CG161">
        <v>0</v>
      </c>
      <c r="CH161" s="8">
        <v>0</v>
      </c>
      <c r="CI161">
        <v>0</v>
      </c>
      <c r="CJ161">
        <v>0</v>
      </c>
      <c r="CK161" s="8">
        <v>0</v>
      </c>
      <c r="CL161" s="5">
        <f>(CD161+CE161/2+CF161/8+CG161/16+CH161/4+CJ161/32+CK161/16)*39</f>
        <v>5.3625000000000007</v>
      </c>
      <c r="CM161">
        <v>0</v>
      </c>
      <c r="CN161">
        <v>0</v>
      </c>
      <c r="CO161">
        <v>0</v>
      </c>
      <c r="CP161" s="8">
        <v>0</v>
      </c>
      <c r="CQ161" s="8">
        <v>0</v>
      </c>
      <c r="CS161">
        <f>2+3/12+1/(5*12)</f>
        <v>2.2666666666666666</v>
      </c>
      <c r="CT161">
        <v>0</v>
      </c>
      <c r="CU161">
        <v>0</v>
      </c>
      <c r="CV161" s="8">
        <v>0</v>
      </c>
      <c r="CW161">
        <f>CS161+CT161/24+CU161/48+CV161/48</f>
        <v>2.2666666666666666</v>
      </c>
      <c r="CX161">
        <v>0</v>
      </c>
      <c r="CY161" t="s">
        <v>248</v>
      </c>
      <c r="CZ161" t="s">
        <v>210</v>
      </c>
      <c r="DB161" t="s">
        <v>405</v>
      </c>
      <c r="DC161" t="s">
        <v>539</v>
      </c>
      <c r="DD161" t="s">
        <v>693</v>
      </c>
      <c r="DE161" t="s">
        <v>591</v>
      </c>
      <c r="DF161" t="s">
        <v>592</v>
      </c>
      <c r="DJ161" t="s">
        <v>483</v>
      </c>
    </row>
    <row r="162" spans="1:114" x14ac:dyDescent="0.25">
      <c r="A162">
        <v>1845</v>
      </c>
      <c r="C162" s="28" t="s">
        <v>3479</v>
      </c>
      <c r="D162" t="s">
        <v>3480</v>
      </c>
      <c r="E162" t="s">
        <v>68</v>
      </c>
      <c r="I162" t="s">
        <v>220</v>
      </c>
      <c r="J162" s="5">
        <v>1343</v>
      </c>
      <c r="K162" t="s">
        <v>817</v>
      </c>
      <c r="L162" s="5">
        <v>23</v>
      </c>
      <c r="M162" s="7" t="s">
        <v>338</v>
      </c>
      <c r="N162" t="s">
        <v>358</v>
      </c>
      <c r="P162" t="s">
        <v>225</v>
      </c>
      <c r="Q162" t="s">
        <v>205</v>
      </c>
      <c r="R162" t="s">
        <v>225</v>
      </c>
      <c r="S162" t="s">
        <v>205</v>
      </c>
      <c r="T162" t="s">
        <v>225</v>
      </c>
      <c r="W162">
        <v>1</v>
      </c>
      <c r="X162" t="s">
        <v>205</v>
      </c>
      <c r="Y162" t="s">
        <v>205</v>
      </c>
      <c r="Z162" t="s">
        <v>205</v>
      </c>
      <c r="AA162" t="s">
        <v>205</v>
      </c>
      <c r="AB162" t="s">
        <v>205</v>
      </c>
      <c r="AC162" t="s">
        <v>205</v>
      </c>
      <c r="AD162" t="s">
        <v>225</v>
      </c>
      <c r="AE162" t="s">
        <v>205</v>
      </c>
      <c r="AF162" t="s">
        <v>205</v>
      </c>
      <c r="AG162" t="s">
        <v>225</v>
      </c>
      <c r="AH162" t="s">
        <v>225</v>
      </c>
      <c r="AI162" t="s">
        <v>225</v>
      </c>
      <c r="AJ162" t="s">
        <v>225</v>
      </c>
      <c r="AK162" t="s">
        <v>225</v>
      </c>
      <c r="AL162" t="s">
        <v>225</v>
      </c>
      <c r="AM162" t="s">
        <v>225</v>
      </c>
      <c r="AN162" t="s">
        <v>225</v>
      </c>
      <c r="AO162" t="s">
        <v>225</v>
      </c>
      <c r="AP162" t="s">
        <v>225</v>
      </c>
      <c r="AQ162" t="s">
        <v>225</v>
      </c>
      <c r="AR162" t="s">
        <v>225</v>
      </c>
      <c r="AS162" t="s">
        <v>225</v>
      </c>
      <c r="AT162" t="s">
        <v>225</v>
      </c>
      <c r="AU162" t="s">
        <v>225</v>
      </c>
      <c r="AV162" t="s">
        <v>225</v>
      </c>
      <c r="AW162" t="s">
        <v>225</v>
      </c>
      <c r="AX162" t="s">
        <v>225</v>
      </c>
      <c r="AY162" t="s">
        <v>225</v>
      </c>
      <c r="AZ162" t="s">
        <v>225</v>
      </c>
      <c r="BA162" t="s">
        <v>225</v>
      </c>
      <c r="BB162" t="s">
        <v>225</v>
      </c>
      <c r="BC162" t="s">
        <v>225</v>
      </c>
      <c r="BD162" t="s">
        <v>225</v>
      </c>
      <c r="BE162" t="s">
        <v>225</v>
      </c>
      <c r="BF162" t="s">
        <v>225</v>
      </c>
      <c r="BG162" t="s">
        <v>225</v>
      </c>
      <c r="BH162" t="s">
        <v>225</v>
      </c>
      <c r="BI162" t="s">
        <v>225</v>
      </c>
      <c r="BJ162" t="s">
        <v>225</v>
      </c>
      <c r="BK162" t="s">
        <v>225</v>
      </c>
      <c r="BL162" t="s">
        <v>205</v>
      </c>
      <c r="BO162" t="s">
        <v>571</v>
      </c>
      <c r="BQ162" t="s">
        <v>3563</v>
      </c>
      <c r="BR162" s="5">
        <v>0</v>
      </c>
      <c r="BS162" s="5">
        <v>0</v>
      </c>
      <c r="BT162" s="5">
        <v>0</v>
      </c>
      <c r="BU162" s="5">
        <f>(BS162/8+BT162/4)*39</f>
        <v>0</v>
      </c>
      <c r="BV162" s="5">
        <v>0</v>
      </c>
      <c r="BW162" s="5">
        <v>0</v>
      </c>
      <c r="BX162" s="5">
        <v>5</v>
      </c>
      <c r="BY162" s="5">
        <v>0</v>
      </c>
      <c r="BZ162" s="5">
        <v>0</v>
      </c>
      <c r="CA162" s="5">
        <v>0</v>
      </c>
      <c r="CB162" s="5">
        <v>0</v>
      </c>
      <c r="CC162" s="5">
        <f>(BV162+BW162/2+BX162/8+BY162/16+BZ162/4+CA162/32)*39</f>
        <v>24.375</v>
      </c>
      <c r="CD162" s="5">
        <v>0</v>
      </c>
      <c r="CE162" s="5">
        <v>0</v>
      </c>
      <c r="CF162" s="5">
        <f>1+1/2</f>
        <v>1.5</v>
      </c>
      <c r="CG162" s="5">
        <v>0</v>
      </c>
      <c r="CH162" s="5">
        <v>0</v>
      </c>
      <c r="CI162" s="5">
        <v>0</v>
      </c>
      <c r="CJ162" s="5">
        <v>0</v>
      </c>
      <c r="CK162" s="5">
        <v>0</v>
      </c>
      <c r="CL162" s="5">
        <f>(CD162+CE162/2+CF162/8+CG162/16+CH162/4+CJ162/32+CK162/16)*39</f>
        <v>7.3125</v>
      </c>
      <c r="CM162" s="5">
        <v>0</v>
      </c>
      <c r="CN162" s="5">
        <v>0</v>
      </c>
      <c r="CO162" s="5">
        <v>0</v>
      </c>
      <c r="CP162" s="5">
        <v>0</v>
      </c>
      <c r="CQ162" s="5">
        <v>0</v>
      </c>
      <c r="CS162">
        <f>3+3/12</f>
        <v>3.25</v>
      </c>
      <c r="CT162">
        <v>1</v>
      </c>
      <c r="CU162">
        <v>0</v>
      </c>
      <c r="CV162">
        <v>0</v>
      </c>
      <c r="CW162">
        <f>CS162+CT162/24+CU162/48+CV162/48</f>
        <v>3.2916666666666665</v>
      </c>
      <c r="CX162">
        <v>0</v>
      </c>
      <c r="CZ162" t="s">
        <v>210</v>
      </c>
      <c r="DC162" t="s">
        <v>262</v>
      </c>
      <c r="DD162" t="s">
        <v>693</v>
      </c>
      <c r="DE162" t="s">
        <v>573</v>
      </c>
      <c r="DF162" t="s">
        <v>945</v>
      </c>
    </row>
    <row r="163" spans="1:114" x14ac:dyDescent="0.25">
      <c r="A163">
        <v>671</v>
      </c>
      <c r="C163" t="s">
        <v>39</v>
      </c>
      <c r="D163" t="s">
        <v>784</v>
      </c>
      <c r="E163" t="s">
        <v>68</v>
      </c>
      <c r="I163" t="s">
        <v>219</v>
      </c>
      <c r="J163">
        <v>1343</v>
      </c>
      <c r="K163" t="s">
        <v>249</v>
      </c>
      <c r="L163">
        <v>29</v>
      </c>
      <c r="M163" s="7" t="s">
        <v>338</v>
      </c>
      <c r="N163" t="s">
        <v>236</v>
      </c>
      <c r="O163" t="s">
        <v>201</v>
      </c>
      <c r="P163" t="s">
        <v>225</v>
      </c>
      <c r="Q163" s="19" t="s">
        <v>205</v>
      </c>
      <c r="R163" t="s">
        <v>205</v>
      </c>
      <c r="S163" t="s">
        <v>205</v>
      </c>
      <c r="T163" t="s">
        <v>225</v>
      </c>
      <c r="U163" t="s">
        <v>277</v>
      </c>
      <c r="V163" t="s">
        <v>204</v>
      </c>
      <c r="W163" t="s">
        <v>205</v>
      </c>
      <c r="X163" t="s">
        <v>225</v>
      </c>
      <c r="Y163" t="s">
        <v>225</v>
      </c>
      <c r="Z163" t="s">
        <v>225</v>
      </c>
      <c r="AA163" t="s">
        <v>225</v>
      </c>
      <c r="AB163" t="s">
        <v>225</v>
      </c>
      <c r="AC163" t="s">
        <v>225</v>
      </c>
      <c r="AD163" t="s">
        <v>205</v>
      </c>
      <c r="AE163" t="s">
        <v>225</v>
      </c>
      <c r="AF163" t="s">
        <v>225</v>
      </c>
      <c r="AG163" t="s">
        <v>225</v>
      </c>
      <c r="AH163" t="s">
        <v>225</v>
      </c>
      <c r="AI163" t="s">
        <v>225</v>
      </c>
      <c r="AJ163" t="s">
        <v>225</v>
      </c>
      <c r="AK163" t="s">
        <v>225</v>
      </c>
      <c r="AL163" t="s">
        <v>225</v>
      </c>
      <c r="AM163" t="s">
        <v>225</v>
      </c>
      <c r="AN163" t="s">
        <v>225</v>
      </c>
      <c r="AO163" t="s">
        <v>225</v>
      </c>
      <c r="AP163" t="s">
        <v>225</v>
      </c>
      <c r="AQ163" t="s">
        <v>225</v>
      </c>
      <c r="AR163" t="s">
        <v>225</v>
      </c>
      <c r="AS163" t="s">
        <v>225</v>
      </c>
      <c r="AT163" t="s">
        <v>225</v>
      </c>
      <c r="AU163" t="s">
        <v>225</v>
      </c>
      <c r="AV163" t="s">
        <v>225</v>
      </c>
      <c r="AW163" t="s">
        <v>225</v>
      </c>
      <c r="AX163" t="s">
        <v>225</v>
      </c>
      <c r="AY163" t="s">
        <v>225</v>
      </c>
      <c r="AZ163" t="s">
        <v>225</v>
      </c>
      <c r="BA163" t="s">
        <v>225</v>
      </c>
      <c r="BB163" t="s">
        <v>225</v>
      </c>
      <c r="BC163" t="s">
        <v>225</v>
      </c>
      <c r="BD163" t="s">
        <v>225</v>
      </c>
      <c r="BE163" t="s">
        <v>225</v>
      </c>
      <c r="BF163" t="s">
        <v>225</v>
      </c>
      <c r="BG163" t="s">
        <v>225</v>
      </c>
      <c r="BH163" t="s">
        <v>225</v>
      </c>
      <c r="BI163" t="s">
        <v>225</v>
      </c>
      <c r="BJ163" t="s">
        <v>225</v>
      </c>
      <c r="BK163" t="s">
        <v>225</v>
      </c>
      <c r="BL163" t="s">
        <v>205</v>
      </c>
      <c r="BN163" t="s">
        <v>888</v>
      </c>
      <c r="BO163" t="s">
        <v>571</v>
      </c>
      <c r="BP163" t="s">
        <v>461</v>
      </c>
      <c r="BQ163" t="s">
        <v>3563</v>
      </c>
      <c r="BR163">
        <f>1/2+1/2</f>
        <v>1</v>
      </c>
      <c r="BS163">
        <v>0</v>
      </c>
      <c r="BT163">
        <v>0</v>
      </c>
      <c r="BU163" s="5">
        <f>(BS163/8+BT163/4)*39</f>
        <v>0</v>
      </c>
      <c r="BV163">
        <v>0</v>
      </c>
      <c r="BW163">
        <v>0</v>
      </c>
      <c r="BX163">
        <f>13.5+1/2</f>
        <v>14</v>
      </c>
      <c r="BY163">
        <v>0</v>
      </c>
      <c r="BZ163">
        <v>0</v>
      </c>
      <c r="CA163">
        <v>0</v>
      </c>
      <c r="CB163">
        <v>0</v>
      </c>
      <c r="CC163" s="5">
        <f>(BV163+BW163/2+BX163/8+BY163/16+BZ163/4+CA163/32)*39</f>
        <v>68.25</v>
      </c>
      <c r="CD163">
        <v>0</v>
      </c>
      <c r="CE163">
        <v>0</v>
      </c>
      <c r="CF163">
        <f>5</f>
        <v>5</v>
      </c>
      <c r="CG163" s="3">
        <f>1/4</f>
        <v>0.25</v>
      </c>
      <c r="CH163">
        <v>0</v>
      </c>
      <c r="CI163">
        <v>0</v>
      </c>
      <c r="CJ163">
        <v>0</v>
      </c>
      <c r="CK163">
        <v>0</v>
      </c>
      <c r="CL163" s="5">
        <f>(CD163+CE163/2+CF163/8+CG163/16+CH163/4+CJ163/32+CK163/16)*39</f>
        <v>24.984375</v>
      </c>
      <c r="CM163">
        <v>0</v>
      </c>
      <c r="CN163">
        <v>0</v>
      </c>
      <c r="CO163">
        <v>0</v>
      </c>
      <c r="CP163">
        <v>0</v>
      </c>
      <c r="CQ163">
        <v>0</v>
      </c>
      <c r="CR163" t="s">
        <v>757</v>
      </c>
      <c r="CS163">
        <f>9+8/12</f>
        <v>9.6666666666666661</v>
      </c>
      <c r="CT163">
        <v>1</v>
      </c>
      <c r="CU163">
        <v>0</v>
      </c>
      <c r="CV163">
        <v>0</v>
      </c>
      <c r="CW163">
        <f>CS163+CT163/24+CU163/48+CV163/48</f>
        <v>9.7083333333333321</v>
      </c>
      <c r="CX163">
        <v>0</v>
      </c>
      <c r="CZ163" t="s">
        <v>210</v>
      </c>
      <c r="DB163" t="s">
        <v>748</v>
      </c>
      <c r="DC163" t="s">
        <v>262</v>
      </c>
      <c r="DD163" t="s">
        <v>693</v>
      </c>
      <c r="DE163" t="s">
        <v>749</v>
      </c>
      <c r="DF163" t="s">
        <v>750</v>
      </c>
      <c r="DG163" t="s">
        <v>751</v>
      </c>
      <c r="DJ163" t="s">
        <v>483</v>
      </c>
    </row>
    <row r="164" spans="1:114" x14ac:dyDescent="0.25">
      <c r="A164">
        <v>681</v>
      </c>
      <c r="C164" t="s">
        <v>13</v>
      </c>
      <c r="D164" t="s">
        <v>784</v>
      </c>
      <c r="E164" t="s">
        <v>68</v>
      </c>
      <c r="I164" t="s">
        <v>219</v>
      </c>
      <c r="J164">
        <v>1343</v>
      </c>
      <c r="K164" t="s">
        <v>249</v>
      </c>
      <c r="L164">
        <v>29</v>
      </c>
      <c r="M164" s="7" t="s">
        <v>338</v>
      </c>
      <c r="N164" t="s">
        <v>236</v>
      </c>
      <c r="O164" t="s">
        <v>201</v>
      </c>
      <c r="P164" t="s">
        <v>225</v>
      </c>
      <c r="Q164" s="19" t="s">
        <v>205</v>
      </c>
      <c r="R164" t="s">
        <v>205</v>
      </c>
      <c r="S164" t="s">
        <v>205</v>
      </c>
      <c r="T164" t="s">
        <v>225</v>
      </c>
      <c r="W164">
        <v>1</v>
      </c>
      <c r="X164" t="s">
        <v>225</v>
      </c>
      <c r="Y164" t="s">
        <v>225</v>
      </c>
      <c r="Z164" t="s">
        <v>225</v>
      </c>
      <c r="AA164" t="s">
        <v>225</v>
      </c>
      <c r="AB164" t="s">
        <v>225</v>
      </c>
      <c r="AC164" t="s">
        <v>225</v>
      </c>
      <c r="AD164" t="s">
        <v>225</v>
      </c>
      <c r="AE164" t="s">
        <v>225</v>
      </c>
      <c r="AF164" t="s">
        <v>225</v>
      </c>
      <c r="AG164" t="s">
        <v>225</v>
      </c>
      <c r="AH164" t="s">
        <v>225</v>
      </c>
      <c r="AI164" t="s">
        <v>225</v>
      </c>
      <c r="AJ164" t="s">
        <v>225</v>
      </c>
      <c r="AK164" t="s">
        <v>225</v>
      </c>
      <c r="AL164" t="s">
        <v>225</v>
      </c>
      <c r="AM164" t="s">
        <v>225</v>
      </c>
      <c r="AN164" t="s">
        <v>225</v>
      </c>
      <c r="AO164" t="s">
        <v>225</v>
      </c>
      <c r="AP164" t="s">
        <v>225</v>
      </c>
      <c r="AQ164" t="s">
        <v>225</v>
      </c>
      <c r="AR164" t="s">
        <v>225</v>
      </c>
      <c r="AS164" t="s">
        <v>225</v>
      </c>
      <c r="AT164" t="s">
        <v>225</v>
      </c>
      <c r="AU164" t="s">
        <v>225</v>
      </c>
      <c r="AV164" t="s">
        <v>225</v>
      </c>
      <c r="AW164" t="s">
        <v>225</v>
      </c>
      <c r="AX164" t="s">
        <v>225</v>
      </c>
      <c r="AY164" t="s">
        <v>225</v>
      </c>
      <c r="AZ164" t="s">
        <v>225</v>
      </c>
      <c r="BA164" t="s">
        <v>225</v>
      </c>
      <c r="BB164" t="s">
        <v>225</v>
      </c>
      <c r="BC164" t="s">
        <v>225</v>
      </c>
      <c r="BD164" t="s">
        <v>225</v>
      </c>
      <c r="BE164" t="s">
        <v>225</v>
      </c>
      <c r="BF164" t="s">
        <v>225</v>
      </c>
      <c r="BG164" t="s">
        <v>225</v>
      </c>
      <c r="BH164" t="s">
        <v>225</v>
      </c>
      <c r="BI164" t="s">
        <v>225</v>
      </c>
      <c r="BJ164" t="s">
        <v>225</v>
      </c>
      <c r="BK164" t="s">
        <v>225</v>
      </c>
      <c r="BL164" t="s">
        <v>205</v>
      </c>
      <c r="BN164" t="s">
        <v>389</v>
      </c>
      <c r="BO164" t="s">
        <v>571</v>
      </c>
      <c r="BQ164" t="s">
        <v>3563</v>
      </c>
      <c r="BR164">
        <f>1/7</f>
        <v>0.14285714285714285</v>
      </c>
      <c r="BS164">
        <v>0</v>
      </c>
      <c r="BT164">
        <v>0</v>
      </c>
      <c r="BU164" s="5">
        <f>(BS164/8+BT164/4)*39</f>
        <v>0</v>
      </c>
      <c r="BV164">
        <v>0</v>
      </c>
      <c r="BW164">
        <v>0</v>
      </c>
      <c r="BX164">
        <f>5+1/2</f>
        <v>5.5</v>
      </c>
      <c r="BY164">
        <v>0</v>
      </c>
      <c r="BZ164">
        <v>0</v>
      </c>
      <c r="CA164">
        <v>0</v>
      </c>
      <c r="CB164">
        <v>0</v>
      </c>
      <c r="CC164" s="5">
        <f>(BV164+BW164/2+BX164/8+BY164/16+BZ164/4+CA164/32)*39</f>
        <v>26.8125</v>
      </c>
      <c r="CD164">
        <v>0</v>
      </c>
      <c r="CE164">
        <v>0</v>
      </c>
      <c r="CF164">
        <f>1/7+1/2</f>
        <v>0.64285714285714279</v>
      </c>
      <c r="CG164">
        <v>1</v>
      </c>
      <c r="CH164" s="5">
        <v>1</v>
      </c>
      <c r="CI164">
        <v>0</v>
      </c>
      <c r="CJ164">
        <v>0</v>
      </c>
      <c r="CK164">
        <v>0</v>
      </c>
      <c r="CL164" s="5">
        <f>(CD164+CE164/2+CF164/8+CG164/16+CH164/4+CJ164/32+CK164/16)*39</f>
        <v>15.321428571428571</v>
      </c>
      <c r="CM164">
        <v>0</v>
      </c>
      <c r="CN164">
        <v>0</v>
      </c>
      <c r="CO164">
        <v>0</v>
      </c>
      <c r="CP164">
        <v>0</v>
      </c>
      <c r="CQ164">
        <v>0</v>
      </c>
      <c r="CR164" t="s">
        <v>758</v>
      </c>
      <c r="CS164">
        <f>3+3/12</f>
        <v>3.25</v>
      </c>
      <c r="CT164">
        <v>0</v>
      </c>
      <c r="CU164">
        <v>0</v>
      </c>
      <c r="CV164">
        <v>0</v>
      </c>
      <c r="CW164">
        <f>CS164+CT164/24+CU164/48+CV164/48</f>
        <v>3.25</v>
      </c>
      <c r="CX164">
        <v>0</v>
      </c>
      <c r="CZ164" t="s">
        <v>210</v>
      </c>
      <c r="DC164" t="s">
        <v>262</v>
      </c>
      <c r="DD164" t="s">
        <v>693</v>
      </c>
      <c r="DE164" t="s">
        <v>749</v>
      </c>
      <c r="DF164" t="s">
        <v>751</v>
      </c>
      <c r="DG164" t="s">
        <v>750</v>
      </c>
    </row>
    <row r="165" spans="1:114" x14ac:dyDescent="0.25">
      <c r="A165">
        <v>1127</v>
      </c>
      <c r="C165" t="s">
        <v>19</v>
      </c>
      <c r="D165" t="s">
        <v>784</v>
      </c>
      <c r="E165" t="s">
        <v>1406</v>
      </c>
      <c r="I165" t="s">
        <v>219</v>
      </c>
      <c r="J165">
        <v>1343</v>
      </c>
      <c r="K165" t="s">
        <v>973</v>
      </c>
      <c r="L165">
        <v>29</v>
      </c>
      <c r="M165" s="7" t="s">
        <v>338</v>
      </c>
      <c r="BQ165" s="1" t="s">
        <v>1642</v>
      </c>
      <c r="BR165" s="5">
        <v>0</v>
      </c>
      <c r="BS165" s="5">
        <v>0</v>
      </c>
      <c r="BT165" s="5">
        <v>0</v>
      </c>
      <c r="BU165" s="5">
        <f>(BS165/8+BT165/4)*39</f>
        <v>0</v>
      </c>
      <c r="BV165" s="5">
        <v>0</v>
      </c>
      <c r="BW165" s="5">
        <v>0</v>
      </c>
      <c r="BX165" s="5">
        <f>1/12</f>
        <v>8.3333333333333329E-2</v>
      </c>
      <c r="BY165" s="5">
        <v>1</v>
      </c>
      <c r="BZ165" s="5">
        <v>0</v>
      </c>
      <c r="CA165" s="5">
        <v>0</v>
      </c>
      <c r="CB165" s="5">
        <v>0</v>
      </c>
      <c r="CC165" s="5">
        <f>(BV165+BW165/2+BX165/8+BY165/16+BZ165/4+CA165/32)*39</f>
        <v>2.84375</v>
      </c>
      <c r="CD165" s="5">
        <v>0</v>
      </c>
      <c r="CE165" s="5">
        <v>0</v>
      </c>
      <c r="CF165" s="5">
        <f>1/12</f>
        <v>8.3333333333333329E-2</v>
      </c>
      <c r="CG165" s="5">
        <v>1</v>
      </c>
      <c r="CH165" s="5">
        <v>0</v>
      </c>
      <c r="CI165" s="5">
        <v>0</v>
      </c>
      <c r="CJ165" s="5">
        <v>0</v>
      </c>
      <c r="CK165" s="5">
        <v>0</v>
      </c>
      <c r="CL165" s="5">
        <f>(CD165+CE165/2+CF165/8+CG165/16+CH165/4+CJ165/32+CK165/16)*39</f>
        <v>2.84375</v>
      </c>
      <c r="CM165" s="5">
        <v>0</v>
      </c>
      <c r="CN165" s="5">
        <v>0</v>
      </c>
      <c r="CO165" s="5">
        <v>0</v>
      </c>
      <c r="CP165" s="5">
        <v>0</v>
      </c>
      <c r="CQ165" s="5">
        <v>0</v>
      </c>
      <c r="CS165">
        <f>2/12</f>
        <v>0.16666666666666666</v>
      </c>
      <c r="CT165">
        <v>1</v>
      </c>
      <c r="CU165">
        <v>0</v>
      </c>
      <c r="CV165">
        <v>0</v>
      </c>
      <c r="CW165">
        <f>CS165+CT165/24+CU165/48+CV165/48</f>
        <v>0.20833333333333331</v>
      </c>
      <c r="CX165">
        <v>0</v>
      </c>
    </row>
    <row r="166" spans="1:114" x14ac:dyDescent="0.25">
      <c r="A166">
        <v>182</v>
      </c>
      <c r="C166" t="s">
        <v>465</v>
      </c>
      <c r="D166" t="s">
        <v>1257</v>
      </c>
      <c r="E166" t="s">
        <v>197</v>
      </c>
      <c r="I166" t="s">
        <v>219</v>
      </c>
      <c r="J166">
        <v>1346</v>
      </c>
      <c r="K166" t="s">
        <v>1082</v>
      </c>
      <c r="L166">
        <v>12</v>
      </c>
      <c r="M166" s="8" t="s">
        <v>338</v>
      </c>
      <c r="V166" t="s">
        <v>204</v>
      </c>
      <c r="W166" t="s">
        <v>225</v>
      </c>
      <c r="X166" t="s">
        <v>225</v>
      </c>
      <c r="Y166" t="s">
        <v>225</v>
      </c>
      <c r="Z166" t="s">
        <v>225</v>
      </c>
      <c r="AA166" t="s">
        <v>225</v>
      </c>
      <c r="AB166" t="s">
        <v>225</v>
      </c>
      <c r="AC166" s="5" t="s">
        <v>2058</v>
      </c>
      <c r="AD166" t="s">
        <v>225</v>
      </c>
      <c r="AE166" t="s">
        <v>225</v>
      </c>
      <c r="AF166" t="s">
        <v>225</v>
      </c>
      <c r="AG166" t="s">
        <v>225</v>
      </c>
      <c r="AH166" t="s">
        <v>225</v>
      </c>
      <c r="AI166" t="s">
        <v>225</v>
      </c>
      <c r="AJ166" t="s">
        <v>225</v>
      </c>
      <c r="AK166" t="s">
        <v>225</v>
      </c>
      <c r="AL166" t="s">
        <v>225</v>
      </c>
      <c r="AM166" t="s">
        <v>225</v>
      </c>
      <c r="AN166" t="s">
        <v>225</v>
      </c>
      <c r="AO166" t="s">
        <v>225</v>
      </c>
      <c r="AP166" t="s">
        <v>225</v>
      </c>
      <c r="AQ166" t="s">
        <v>225</v>
      </c>
      <c r="AR166" t="s">
        <v>225</v>
      </c>
      <c r="AS166">
        <v>1</v>
      </c>
      <c r="AT166" t="s">
        <v>225</v>
      </c>
      <c r="AU166" t="s">
        <v>225</v>
      </c>
      <c r="AV166" t="s">
        <v>225</v>
      </c>
      <c r="AW166" t="s">
        <v>225</v>
      </c>
      <c r="AX166" t="s">
        <v>225</v>
      </c>
      <c r="AY166" t="s">
        <v>225</v>
      </c>
      <c r="AZ166" t="s">
        <v>225</v>
      </c>
      <c r="BA166" t="s">
        <v>225</v>
      </c>
      <c r="BB166" t="s">
        <v>225</v>
      </c>
      <c r="BC166" t="s">
        <v>225</v>
      </c>
      <c r="BD166" t="s">
        <v>225</v>
      </c>
      <c r="BE166" t="s">
        <v>225</v>
      </c>
      <c r="BF166" t="s">
        <v>225</v>
      </c>
      <c r="BG166" t="s">
        <v>225</v>
      </c>
      <c r="BH166" t="s">
        <v>225</v>
      </c>
      <c r="BI166" t="s">
        <v>225</v>
      </c>
      <c r="BJ166" t="s">
        <v>225</v>
      </c>
      <c r="BK166" t="s">
        <v>225</v>
      </c>
      <c r="BL166" t="s">
        <v>225</v>
      </c>
      <c r="BN166" t="s">
        <v>1267</v>
      </c>
      <c r="BR166">
        <v>0</v>
      </c>
      <c r="BS166">
        <v>0</v>
      </c>
      <c r="BT166">
        <v>0</v>
      </c>
      <c r="BU166" s="5">
        <f>(BS166/8+BT166/4)*39</f>
        <v>0</v>
      </c>
      <c r="BV166">
        <v>0</v>
      </c>
      <c r="BW166">
        <v>0</v>
      </c>
      <c r="BX166">
        <v>0</v>
      </c>
      <c r="BY166">
        <v>0</v>
      </c>
      <c r="BZ166">
        <v>0</v>
      </c>
      <c r="CA166">
        <v>0</v>
      </c>
      <c r="CB166">
        <v>0</v>
      </c>
      <c r="CC166" s="5">
        <f>(BV166+BW166/2+BX166/8+BY166/16+BZ166/4+CA166/32)*39</f>
        <v>0</v>
      </c>
      <c r="CD166">
        <v>0</v>
      </c>
      <c r="CE166">
        <v>0</v>
      </c>
      <c r="CF166">
        <v>0</v>
      </c>
      <c r="CG166">
        <v>0</v>
      </c>
      <c r="CH166">
        <v>0</v>
      </c>
      <c r="CI166">
        <v>0</v>
      </c>
      <c r="CJ166">
        <v>0</v>
      </c>
      <c r="CK166">
        <v>0</v>
      </c>
      <c r="CL166" s="5">
        <f>(CD166+CE166/2+CF166/8+CG166/16+CH166/4+CJ166/32+CK166/16)*39</f>
        <v>0</v>
      </c>
      <c r="CM166">
        <v>0</v>
      </c>
      <c r="CN166">
        <v>0</v>
      </c>
      <c r="CO166">
        <v>0</v>
      </c>
      <c r="CP166">
        <v>0</v>
      </c>
      <c r="CQ166">
        <v>0</v>
      </c>
      <c r="CS166">
        <f>5 +1/12</f>
        <v>5.083333333333333</v>
      </c>
      <c r="CT166">
        <v>0</v>
      </c>
      <c r="CU166">
        <v>0</v>
      </c>
      <c r="CV166">
        <v>0</v>
      </c>
      <c r="CW166">
        <f>CS166+CT166/24+CU166/48+CV166/48</f>
        <v>5.083333333333333</v>
      </c>
      <c r="CX166">
        <v>0</v>
      </c>
      <c r="DC166" t="s">
        <v>539</v>
      </c>
      <c r="DE166" t="s">
        <v>572</v>
      </c>
      <c r="DF166" t="s">
        <v>3973</v>
      </c>
    </row>
    <row r="167" spans="1:114" x14ac:dyDescent="0.25">
      <c r="A167">
        <v>221</v>
      </c>
      <c r="C167" t="s">
        <v>138</v>
      </c>
      <c r="D167" t="s">
        <v>149</v>
      </c>
      <c r="E167" t="s">
        <v>197</v>
      </c>
      <c r="H167" t="s">
        <v>1304</v>
      </c>
      <c r="I167" t="s">
        <v>219</v>
      </c>
      <c r="J167">
        <v>1342</v>
      </c>
      <c r="K167" t="s">
        <v>198</v>
      </c>
      <c r="L167">
        <v>18</v>
      </c>
      <c r="M167" s="7" t="s">
        <v>338</v>
      </c>
      <c r="N167" t="s">
        <v>236</v>
      </c>
      <c r="O167" t="s">
        <v>201</v>
      </c>
      <c r="P167" t="s">
        <v>225</v>
      </c>
      <c r="Q167" s="19" t="s">
        <v>205</v>
      </c>
      <c r="R167" t="s">
        <v>205</v>
      </c>
      <c r="S167" t="s">
        <v>205</v>
      </c>
      <c r="T167" t="s">
        <v>225</v>
      </c>
      <c r="W167">
        <v>2</v>
      </c>
      <c r="X167" t="s">
        <v>205</v>
      </c>
      <c r="Y167" t="s">
        <v>205</v>
      </c>
      <c r="Z167" t="s">
        <v>205</v>
      </c>
      <c r="AA167" t="s">
        <v>205</v>
      </c>
      <c r="AB167" t="s">
        <v>205</v>
      </c>
      <c r="AC167" t="s">
        <v>205</v>
      </c>
      <c r="AD167" t="s">
        <v>205</v>
      </c>
      <c r="AE167" t="s">
        <v>225</v>
      </c>
      <c r="AF167" t="s">
        <v>205</v>
      </c>
      <c r="AG167" t="s">
        <v>225</v>
      </c>
      <c r="AH167" t="s">
        <v>225</v>
      </c>
      <c r="AI167" t="s">
        <v>225</v>
      </c>
      <c r="AJ167" t="s">
        <v>225</v>
      </c>
      <c r="AK167" t="s">
        <v>225</v>
      </c>
      <c r="AL167" t="s">
        <v>225</v>
      </c>
      <c r="AM167" t="s">
        <v>225</v>
      </c>
      <c r="AN167" t="s">
        <v>225</v>
      </c>
      <c r="AO167" t="s">
        <v>225</v>
      </c>
      <c r="AP167" t="s">
        <v>225</v>
      </c>
      <c r="AQ167" t="s">
        <v>225</v>
      </c>
      <c r="AR167" t="s">
        <v>225</v>
      </c>
      <c r="AS167" t="s">
        <v>225</v>
      </c>
      <c r="AT167" t="s">
        <v>225</v>
      </c>
      <c r="AU167" t="s">
        <v>225</v>
      </c>
      <c r="AV167" t="s">
        <v>225</v>
      </c>
      <c r="AW167" t="s">
        <v>225</v>
      </c>
      <c r="AX167" t="s">
        <v>225</v>
      </c>
      <c r="AY167" t="s">
        <v>225</v>
      </c>
      <c r="AZ167" t="s">
        <v>225</v>
      </c>
      <c r="BA167" t="s">
        <v>225</v>
      </c>
      <c r="BB167" t="s">
        <v>225</v>
      </c>
      <c r="BC167" t="s">
        <v>225</v>
      </c>
      <c r="BD167" t="s">
        <v>225</v>
      </c>
      <c r="BE167" t="s">
        <v>225</v>
      </c>
      <c r="BF167" t="s">
        <v>225</v>
      </c>
      <c r="BG167" t="s">
        <v>225</v>
      </c>
      <c r="BH167" t="s">
        <v>225</v>
      </c>
      <c r="BI167" t="s">
        <v>225</v>
      </c>
      <c r="BJ167" t="s">
        <v>225</v>
      </c>
      <c r="BK167" t="s">
        <v>225</v>
      </c>
      <c r="BL167" t="s">
        <v>205</v>
      </c>
      <c r="BN167" t="s">
        <v>1310</v>
      </c>
      <c r="BO167" t="s">
        <v>1198</v>
      </c>
      <c r="BP167" t="s">
        <v>461</v>
      </c>
      <c r="BQ167" t="s">
        <v>3563</v>
      </c>
      <c r="BR167">
        <f>1/2+1/2</f>
        <v>1</v>
      </c>
      <c r="BS167">
        <v>0</v>
      </c>
      <c r="BT167">
        <v>0</v>
      </c>
      <c r="BU167" s="5">
        <f>(BS167/8+BT167/4)*39</f>
        <v>0</v>
      </c>
      <c r="BV167">
        <v>0</v>
      </c>
      <c r="BW167">
        <v>0</v>
      </c>
      <c r="BX167">
        <f>3+1</f>
        <v>4</v>
      </c>
      <c r="BY167">
        <v>0</v>
      </c>
      <c r="BZ167">
        <v>1</v>
      </c>
      <c r="CA167">
        <v>0</v>
      </c>
      <c r="CB167">
        <v>0</v>
      </c>
      <c r="CC167" s="5">
        <f>(BV167+BW167/2+BX167/8+BY167/16+BZ167/4+CA167/32)*39</f>
        <v>29.25</v>
      </c>
      <c r="CD167">
        <v>0</v>
      </c>
      <c r="CE167">
        <v>0</v>
      </c>
      <c r="CF167">
        <v>0</v>
      </c>
      <c r="CG167">
        <v>1</v>
      </c>
      <c r="CH167">
        <v>1</v>
      </c>
      <c r="CI167">
        <v>0</v>
      </c>
      <c r="CJ167">
        <v>0</v>
      </c>
      <c r="CK167">
        <v>0</v>
      </c>
      <c r="CL167" s="5">
        <f>(CD167+CE167/2+CF167/8+CG167/16+CH167/4+CJ167/32+CK167/16)*39</f>
        <v>12.1875</v>
      </c>
      <c r="CM167">
        <v>0</v>
      </c>
      <c r="CN167">
        <v>0</v>
      </c>
      <c r="CO167">
        <v>0</v>
      </c>
      <c r="CP167">
        <v>0</v>
      </c>
      <c r="CQ167">
        <v>0</v>
      </c>
      <c r="CR167" t="s">
        <v>1309</v>
      </c>
      <c r="CS167">
        <f>2+6/12+3+10/12</f>
        <v>6.333333333333333</v>
      </c>
      <c r="CT167">
        <v>0</v>
      </c>
      <c r="CU167">
        <v>0</v>
      </c>
      <c r="CV167">
        <v>0</v>
      </c>
      <c r="CW167">
        <f>CS167+CT167/24+CU167/48+CV167/48</f>
        <v>6.333333333333333</v>
      </c>
      <c r="CX167">
        <v>0</v>
      </c>
      <c r="CY167" t="s">
        <v>248</v>
      </c>
      <c r="CZ167" t="s">
        <v>210</v>
      </c>
      <c r="DA167" t="s">
        <v>1311</v>
      </c>
      <c r="DB167" t="s">
        <v>1312</v>
      </c>
      <c r="DC167" t="s">
        <v>1313</v>
      </c>
      <c r="DD167" t="s">
        <v>693</v>
      </c>
      <c r="DE167" t="s">
        <v>1254</v>
      </c>
      <c r="DF167" t="s">
        <v>1316</v>
      </c>
      <c r="DG167" t="s">
        <v>1317</v>
      </c>
    </row>
    <row r="168" spans="1:114" x14ac:dyDescent="0.25">
      <c r="A168">
        <v>861</v>
      </c>
      <c r="C168" t="s">
        <v>19</v>
      </c>
      <c r="D168" t="s">
        <v>1060</v>
      </c>
      <c r="E168" t="s">
        <v>776</v>
      </c>
      <c r="I168" t="s">
        <v>219</v>
      </c>
      <c r="J168">
        <v>1343</v>
      </c>
      <c r="K168" t="s">
        <v>1038</v>
      </c>
      <c r="L168" s="5">
        <v>29</v>
      </c>
      <c r="M168" s="7" t="s">
        <v>338</v>
      </c>
      <c r="N168" t="s">
        <v>986</v>
      </c>
      <c r="V168" t="s">
        <v>204</v>
      </c>
      <c r="W168" t="s">
        <v>225</v>
      </c>
      <c r="X168" t="s">
        <v>225</v>
      </c>
      <c r="Y168">
        <v>1</v>
      </c>
      <c r="Z168" t="s">
        <v>225</v>
      </c>
      <c r="AA168" t="s">
        <v>225</v>
      </c>
      <c r="AB168" t="s">
        <v>225</v>
      </c>
      <c r="AC168" t="s">
        <v>225</v>
      </c>
      <c r="AD168" t="s">
        <v>225</v>
      </c>
      <c r="AE168" t="s">
        <v>225</v>
      </c>
      <c r="AF168" t="s">
        <v>225</v>
      </c>
      <c r="AG168" t="s">
        <v>225</v>
      </c>
      <c r="AH168" t="s">
        <v>225</v>
      </c>
      <c r="AI168" t="s">
        <v>225</v>
      </c>
      <c r="AJ168" t="s">
        <v>225</v>
      </c>
      <c r="AK168" t="s">
        <v>225</v>
      </c>
      <c r="AL168" t="s">
        <v>225</v>
      </c>
      <c r="AM168" t="s">
        <v>225</v>
      </c>
      <c r="AN168" t="s">
        <v>225</v>
      </c>
      <c r="AO168" t="s">
        <v>225</v>
      </c>
      <c r="AP168" t="s">
        <v>225</v>
      </c>
      <c r="AQ168" t="s">
        <v>225</v>
      </c>
      <c r="AR168" t="s">
        <v>225</v>
      </c>
      <c r="AS168" t="s">
        <v>225</v>
      </c>
      <c r="AT168" t="s">
        <v>225</v>
      </c>
      <c r="AU168" t="s">
        <v>225</v>
      </c>
      <c r="AV168" t="s">
        <v>225</v>
      </c>
      <c r="AW168" t="s">
        <v>225</v>
      </c>
      <c r="AX168" t="s">
        <v>225</v>
      </c>
      <c r="AY168" t="s">
        <v>225</v>
      </c>
      <c r="AZ168" t="s">
        <v>225</v>
      </c>
      <c r="BA168" t="s">
        <v>225</v>
      </c>
      <c r="BB168" t="s">
        <v>225</v>
      </c>
      <c r="BC168" t="s">
        <v>225</v>
      </c>
      <c r="BD168" t="s">
        <v>225</v>
      </c>
      <c r="BE168" t="s">
        <v>225</v>
      </c>
      <c r="BF168" t="s">
        <v>225</v>
      </c>
      <c r="BG168" t="s">
        <v>225</v>
      </c>
      <c r="BH168" t="s">
        <v>225</v>
      </c>
      <c r="BI168" t="s">
        <v>225</v>
      </c>
      <c r="BJ168" t="s">
        <v>225</v>
      </c>
      <c r="BK168" t="s">
        <v>225</v>
      </c>
      <c r="BL168" t="s">
        <v>225</v>
      </c>
      <c r="BN168" t="s">
        <v>398</v>
      </c>
      <c r="BR168" s="5">
        <v>0</v>
      </c>
      <c r="BS168" s="5">
        <v>0</v>
      </c>
      <c r="BT168" s="5">
        <v>0</v>
      </c>
      <c r="BU168" s="5">
        <f>(BS168/8+BT168/4)*39</f>
        <v>0</v>
      </c>
      <c r="BV168" s="5">
        <v>0</v>
      </c>
      <c r="BW168" s="5">
        <v>0</v>
      </c>
      <c r="BX168" s="5">
        <v>0</v>
      </c>
      <c r="BY168" s="5">
        <v>0</v>
      </c>
      <c r="BZ168" s="5">
        <v>0</v>
      </c>
      <c r="CA168" s="5">
        <v>0</v>
      </c>
      <c r="CB168" s="5">
        <v>0</v>
      </c>
      <c r="CC168" s="5">
        <f>(BV168+BW168/2+BX168/8+BY168/16+BZ168/4+CA168/32)*39</f>
        <v>0</v>
      </c>
      <c r="CD168" s="5">
        <v>0</v>
      </c>
      <c r="CE168" s="5">
        <v>0</v>
      </c>
      <c r="CF168" s="5">
        <v>0</v>
      </c>
      <c r="CG168" s="5">
        <v>0</v>
      </c>
      <c r="CH168" s="5">
        <v>0</v>
      </c>
      <c r="CI168" s="5">
        <v>0</v>
      </c>
      <c r="CJ168" s="5">
        <v>0</v>
      </c>
      <c r="CK168" s="5">
        <v>0</v>
      </c>
      <c r="CL168" s="5">
        <f>(CD168+CE168/2+CF168/8+CG168/16+CH168/4+CJ168/32+CK168/16)*39</f>
        <v>0</v>
      </c>
      <c r="CM168" s="5">
        <v>0</v>
      </c>
      <c r="CN168" s="5">
        <v>0</v>
      </c>
      <c r="CO168" s="5">
        <v>0</v>
      </c>
      <c r="CP168" s="5">
        <v>0</v>
      </c>
      <c r="CQ168" s="5">
        <v>0</v>
      </c>
      <c r="CR168" t="s">
        <v>398</v>
      </c>
      <c r="CS168">
        <f>8/12</f>
        <v>0.66666666666666663</v>
      </c>
      <c r="CT168">
        <v>0</v>
      </c>
      <c r="CU168">
        <v>0</v>
      </c>
      <c r="CV168">
        <v>0</v>
      </c>
      <c r="CW168">
        <f>CS168+CT168/24+CU168/48+CV168/48</f>
        <v>0.66666666666666663</v>
      </c>
      <c r="CX168">
        <v>0</v>
      </c>
      <c r="CZ168" t="s">
        <v>210</v>
      </c>
      <c r="DC168" t="s">
        <v>1063</v>
      </c>
      <c r="DD168" t="s">
        <v>693</v>
      </c>
      <c r="DE168" t="s">
        <v>1065</v>
      </c>
      <c r="DF168" t="s">
        <v>1066</v>
      </c>
      <c r="DG168" t="s">
        <v>1064</v>
      </c>
    </row>
    <row r="169" spans="1:114" x14ac:dyDescent="0.25">
      <c r="A169">
        <v>341</v>
      </c>
      <c r="B169" s="36" t="s">
        <v>406</v>
      </c>
      <c r="C169" t="s">
        <v>104</v>
      </c>
      <c r="D169" t="s">
        <v>387</v>
      </c>
      <c r="E169" t="s">
        <v>378</v>
      </c>
      <c r="I169" t="s">
        <v>219</v>
      </c>
      <c r="J169">
        <v>1343</v>
      </c>
      <c r="K169" t="s">
        <v>249</v>
      </c>
      <c r="L169">
        <v>2</v>
      </c>
      <c r="M169" s="7" t="s">
        <v>338</v>
      </c>
      <c r="N169" t="s">
        <v>236</v>
      </c>
      <c r="O169" t="s">
        <v>388</v>
      </c>
      <c r="P169" t="s">
        <v>225</v>
      </c>
      <c r="Q169" t="s">
        <v>205</v>
      </c>
      <c r="R169" t="s">
        <v>205</v>
      </c>
      <c r="S169" t="s">
        <v>205</v>
      </c>
      <c r="T169" t="s">
        <v>225</v>
      </c>
      <c r="U169" t="s">
        <v>277</v>
      </c>
      <c r="V169" t="s">
        <v>204</v>
      </c>
      <c r="W169">
        <v>1</v>
      </c>
      <c r="X169">
        <v>1</v>
      </c>
      <c r="Y169" t="s">
        <v>205</v>
      </c>
      <c r="Z169" t="s">
        <v>205</v>
      </c>
      <c r="AA169" t="s">
        <v>205</v>
      </c>
      <c r="AB169" t="s">
        <v>205</v>
      </c>
      <c r="AC169" t="s">
        <v>205</v>
      </c>
      <c r="AD169" t="s">
        <v>225</v>
      </c>
      <c r="AE169" t="s">
        <v>225</v>
      </c>
      <c r="AF169" t="s">
        <v>225</v>
      </c>
      <c r="AG169" t="s">
        <v>225</v>
      </c>
      <c r="AH169" t="s">
        <v>205</v>
      </c>
      <c r="AI169" t="s">
        <v>225</v>
      </c>
      <c r="AJ169" t="s">
        <v>225</v>
      </c>
      <c r="AK169" t="s">
        <v>225</v>
      </c>
      <c r="AL169" t="s">
        <v>205</v>
      </c>
      <c r="AM169" t="s">
        <v>225</v>
      </c>
      <c r="AN169" t="s">
        <v>225</v>
      </c>
      <c r="AO169" t="s">
        <v>225</v>
      </c>
      <c r="AP169" t="s">
        <v>225</v>
      </c>
      <c r="AQ169" t="s">
        <v>225</v>
      </c>
      <c r="AR169" t="s">
        <v>225</v>
      </c>
      <c r="AS169" t="s">
        <v>225</v>
      </c>
      <c r="AT169" t="s">
        <v>225</v>
      </c>
      <c r="AU169" t="s">
        <v>225</v>
      </c>
      <c r="AV169" t="s">
        <v>225</v>
      </c>
      <c r="AW169" t="s">
        <v>225</v>
      </c>
      <c r="AX169" t="s">
        <v>225</v>
      </c>
      <c r="AY169" t="s">
        <v>225</v>
      </c>
      <c r="AZ169" t="s">
        <v>225</v>
      </c>
      <c r="BA169" t="s">
        <v>225</v>
      </c>
      <c r="BB169" t="s">
        <v>225</v>
      </c>
      <c r="BC169" t="s">
        <v>225</v>
      </c>
      <c r="BD169" t="s">
        <v>225</v>
      </c>
      <c r="BE169" t="s">
        <v>225</v>
      </c>
      <c r="BF169" t="s">
        <v>225</v>
      </c>
      <c r="BG169" t="s">
        <v>225</v>
      </c>
      <c r="BH169" t="s">
        <v>225</v>
      </c>
      <c r="BI169" t="s">
        <v>225</v>
      </c>
      <c r="BJ169" t="s">
        <v>225</v>
      </c>
      <c r="BK169" t="s">
        <v>225</v>
      </c>
      <c r="BL169" t="s">
        <v>205</v>
      </c>
      <c r="BN169" t="s">
        <v>890</v>
      </c>
      <c r="BP169" t="s">
        <v>461</v>
      </c>
      <c r="BQ169" t="s">
        <v>3563</v>
      </c>
      <c r="BR169" s="3">
        <f>1/2</f>
        <v>0.5</v>
      </c>
      <c r="BS169">
        <v>0</v>
      </c>
      <c r="BT169">
        <v>0</v>
      </c>
      <c r="BU169" s="5">
        <f>(BS169/8+BT169/4)*39</f>
        <v>0</v>
      </c>
      <c r="BV169">
        <v>0</v>
      </c>
      <c r="BW169">
        <v>0</v>
      </c>
      <c r="BX169">
        <f>1.5+1/3</f>
        <v>1.8333333333333333</v>
      </c>
      <c r="BY169">
        <v>0</v>
      </c>
      <c r="BZ169">
        <v>0</v>
      </c>
      <c r="CA169">
        <v>0</v>
      </c>
      <c r="CB169">
        <v>0</v>
      </c>
      <c r="CC169" s="5">
        <f>(BV169+BW169/2+BX169/8+BY169/16+BZ169/4+CA169/32)*39</f>
        <v>8.9375</v>
      </c>
      <c r="CD169">
        <v>0</v>
      </c>
      <c r="CE169">
        <v>0</v>
      </c>
      <c r="CF169">
        <v>0</v>
      </c>
      <c r="CG169">
        <v>0</v>
      </c>
      <c r="CH169">
        <v>0</v>
      </c>
      <c r="CI169">
        <v>0</v>
      </c>
      <c r="CJ169">
        <v>0</v>
      </c>
      <c r="CK169">
        <v>0</v>
      </c>
      <c r="CL169" s="5">
        <f>(CD169+CE169/2+CF169/8+CG169/16+CH169/4+CJ169/32+CK169/16)*39</f>
        <v>0</v>
      </c>
      <c r="CM169">
        <v>0</v>
      </c>
      <c r="CN169">
        <v>0</v>
      </c>
      <c r="CO169">
        <v>0</v>
      </c>
      <c r="CP169">
        <v>0</v>
      </c>
      <c r="CQ169">
        <v>0</v>
      </c>
      <c r="CR169" t="s">
        <v>300</v>
      </c>
      <c r="CT169" s="11"/>
      <c r="CU169" s="11"/>
      <c r="CV169">
        <v>0</v>
      </c>
      <c r="CW169">
        <f>CS169+CT169/24+CU169/48+CV169/48</f>
        <v>0</v>
      </c>
      <c r="CX169">
        <v>0</v>
      </c>
      <c r="DD169" t="s">
        <v>693</v>
      </c>
    </row>
    <row r="170" spans="1:114" x14ac:dyDescent="0.25">
      <c r="A170">
        <v>1681</v>
      </c>
      <c r="C170" t="s">
        <v>19</v>
      </c>
      <c r="D170" t="s">
        <v>3005</v>
      </c>
      <c r="E170" t="s">
        <v>2940</v>
      </c>
      <c r="G170" t="s">
        <v>3006</v>
      </c>
      <c r="I170" t="s">
        <v>219</v>
      </c>
      <c r="J170" s="5">
        <v>1343</v>
      </c>
      <c r="K170" t="s">
        <v>249</v>
      </c>
      <c r="L170">
        <v>16</v>
      </c>
      <c r="M170" s="8" t="s">
        <v>338</v>
      </c>
      <c r="N170" t="s">
        <v>986</v>
      </c>
      <c r="V170" t="s">
        <v>1463</v>
      </c>
      <c r="W170" t="s">
        <v>225</v>
      </c>
      <c r="X170" t="s">
        <v>225</v>
      </c>
      <c r="Y170">
        <v>1</v>
      </c>
      <c r="Z170">
        <v>1</v>
      </c>
      <c r="AA170" t="s">
        <v>225</v>
      </c>
      <c r="AB170" t="s">
        <v>225</v>
      </c>
      <c r="AC170">
        <v>2</v>
      </c>
      <c r="AD170" t="s">
        <v>205</v>
      </c>
      <c r="AE170" t="s">
        <v>225</v>
      </c>
      <c r="AF170" t="s">
        <v>225</v>
      </c>
      <c r="AG170" t="s">
        <v>225</v>
      </c>
      <c r="AH170" t="s">
        <v>225</v>
      </c>
      <c r="AI170" t="s">
        <v>225</v>
      </c>
      <c r="AJ170" t="s">
        <v>225</v>
      </c>
      <c r="AK170" t="s">
        <v>225</v>
      </c>
      <c r="AL170" t="s">
        <v>225</v>
      </c>
      <c r="AM170" t="s">
        <v>225</v>
      </c>
      <c r="AN170" t="s">
        <v>225</v>
      </c>
      <c r="AO170" t="s">
        <v>225</v>
      </c>
      <c r="AP170" t="s">
        <v>225</v>
      </c>
      <c r="AQ170" t="s">
        <v>225</v>
      </c>
      <c r="AR170" t="s">
        <v>225</v>
      </c>
      <c r="AS170" t="s">
        <v>225</v>
      </c>
      <c r="AT170" t="s">
        <v>225</v>
      </c>
      <c r="AU170" t="s">
        <v>225</v>
      </c>
      <c r="AV170" t="s">
        <v>225</v>
      </c>
      <c r="AW170" t="s">
        <v>225</v>
      </c>
      <c r="AX170" t="s">
        <v>225</v>
      </c>
      <c r="AY170" t="s">
        <v>225</v>
      </c>
      <c r="AZ170" t="s">
        <v>225</v>
      </c>
      <c r="BA170" t="s">
        <v>225</v>
      </c>
      <c r="BB170" t="s">
        <v>225</v>
      </c>
      <c r="BC170" t="s">
        <v>225</v>
      </c>
      <c r="BD170" t="s">
        <v>225</v>
      </c>
      <c r="BE170" t="s">
        <v>225</v>
      </c>
      <c r="BF170" t="s">
        <v>225</v>
      </c>
      <c r="BG170">
        <v>1</v>
      </c>
      <c r="BH170" t="s">
        <v>225</v>
      </c>
      <c r="BI170" t="s">
        <v>225</v>
      </c>
      <c r="BJ170" t="s">
        <v>225</v>
      </c>
      <c r="BK170" t="s">
        <v>225</v>
      </c>
      <c r="BL170" t="s">
        <v>225</v>
      </c>
      <c r="BN170" t="s">
        <v>2994</v>
      </c>
      <c r="BQ170" t="s">
        <v>539</v>
      </c>
      <c r="BR170" s="5">
        <v>0</v>
      </c>
      <c r="BS170" s="5">
        <v>0</v>
      </c>
      <c r="BT170" s="5">
        <v>0</v>
      </c>
      <c r="BU170" s="5">
        <f>(BS170/8+BT170/4)*39</f>
        <v>0</v>
      </c>
      <c r="BV170" s="5">
        <v>0</v>
      </c>
      <c r="BW170" s="5">
        <v>0</v>
      </c>
      <c r="BX170" s="5">
        <v>1</v>
      </c>
      <c r="BY170" s="5">
        <v>0</v>
      </c>
      <c r="BZ170" s="5">
        <v>0</v>
      </c>
      <c r="CA170" s="5">
        <v>0</v>
      </c>
      <c r="CB170" s="5">
        <v>0</v>
      </c>
      <c r="CC170" s="5">
        <f>(BV170+BW170/2+BX170/8+BY170/16+BZ170/4+CA170/32)*39</f>
        <v>4.875</v>
      </c>
      <c r="CD170" s="5">
        <v>0</v>
      </c>
      <c r="CE170" s="5">
        <v>0</v>
      </c>
      <c r="CF170" s="5">
        <v>0</v>
      </c>
      <c r="CG170" s="5">
        <f>1+1/2</f>
        <v>1.5</v>
      </c>
      <c r="CH170" s="5">
        <v>0</v>
      </c>
      <c r="CI170" s="5">
        <v>0</v>
      </c>
      <c r="CJ170" s="5">
        <v>0</v>
      </c>
      <c r="CK170" s="5">
        <v>0</v>
      </c>
      <c r="CL170" s="5">
        <f>(CD170+CE170/2+CF170/8+CG170/16+CH170/4+CJ170/32+CK170/16)*39</f>
        <v>3.65625</v>
      </c>
      <c r="CM170" s="5">
        <v>0</v>
      </c>
      <c r="CN170" s="5">
        <v>0</v>
      </c>
      <c r="CO170" s="5">
        <v>0</v>
      </c>
      <c r="CP170" s="5">
        <v>0</v>
      </c>
      <c r="CQ170" s="5">
        <v>0</v>
      </c>
      <c r="CS170">
        <f>12/12</f>
        <v>1</v>
      </c>
      <c r="CT170">
        <v>0</v>
      </c>
      <c r="CU170">
        <v>0</v>
      </c>
      <c r="CV170">
        <v>0</v>
      </c>
      <c r="CW170">
        <f>CS170+CT170/24+CU170/48+CV170/48</f>
        <v>1</v>
      </c>
      <c r="CX170">
        <v>0</v>
      </c>
      <c r="CZ170" t="s">
        <v>210</v>
      </c>
      <c r="DA170" t="s">
        <v>1733</v>
      </c>
      <c r="DB170" t="s">
        <v>2995</v>
      </c>
      <c r="DC170" t="s">
        <v>2996</v>
      </c>
      <c r="DD170" t="s">
        <v>693</v>
      </c>
      <c r="DE170" t="s">
        <v>1196</v>
      </c>
      <c r="DF170" t="s">
        <v>2035</v>
      </c>
      <c r="DG170" t="s">
        <v>2997</v>
      </c>
    </row>
    <row r="171" spans="1:114" x14ac:dyDescent="0.25">
      <c r="A171">
        <v>1463</v>
      </c>
      <c r="B171" t="s">
        <v>3777</v>
      </c>
      <c r="C171" t="s">
        <v>38</v>
      </c>
      <c r="D171" t="s">
        <v>2373</v>
      </c>
      <c r="E171" t="s">
        <v>2070</v>
      </c>
      <c r="H171" t="s">
        <v>2374</v>
      </c>
      <c r="I171" t="s">
        <v>220</v>
      </c>
      <c r="J171" s="16">
        <v>1342</v>
      </c>
      <c r="K171" s="16" t="s">
        <v>817</v>
      </c>
      <c r="L171" t="s">
        <v>15</v>
      </c>
      <c r="M171" s="7" t="s">
        <v>338</v>
      </c>
      <c r="N171" t="s">
        <v>358</v>
      </c>
      <c r="P171" t="s">
        <v>225</v>
      </c>
      <c r="Q171" t="s">
        <v>205</v>
      </c>
      <c r="R171" t="s">
        <v>205</v>
      </c>
      <c r="S171" t="s">
        <v>205</v>
      </c>
      <c r="T171" t="s">
        <v>225</v>
      </c>
      <c r="W171" t="s">
        <v>205</v>
      </c>
      <c r="X171" t="s">
        <v>205</v>
      </c>
      <c r="Y171" t="s">
        <v>205</v>
      </c>
      <c r="Z171" t="s">
        <v>225</v>
      </c>
      <c r="AA171" t="s">
        <v>205</v>
      </c>
      <c r="AB171" t="s">
        <v>225</v>
      </c>
      <c r="AC171" t="s">
        <v>205</v>
      </c>
      <c r="AD171" t="s">
        <v>205</v>
      </c>
      <c r="AE171" t="s">
        <v>225</v>
      </c>
      <c r="AF171" t="s">
        <v>225</v>
      </c>
      <c r="AG171" t="s">
        <v>225</v>
      </c>
      <c r="AH171" t="s">
        <v>205</v>
      </c>
      <c r="AI171" t="s">
        <v>225</v>
      </c>
      <c r="AJ171" t="s">
        <v>225</v>
      </c>
      <c r="AK171" t="s">
        <v>225</v>
      </c>
      <c r="AL171" t="s">
        <v>205</v>
      </c>
      <c r="AM171" t="s">
        <v>225</v>
      </c>
      <c r="AN171" t="s">
        <v>225</v>
      </c>
      <c r="AO171" t="s">
        <v>225</v>
      </c>
      <c r="AP171" t="s">
        <v>225</v>
      </c>
      <c r="AQ171" t="s">
        <v>225</v>
      </c>
      <c r="AR171" t="s">
        <v>225</v>
      </c>
      <c r="AS171" t="s">
        <v>225</v>
      </c>
      <c r="AT171" t="s">
        <v>225</v>
      </c>
      <c r="AU171" t="s">
        <v>225</v>
      </c>
      <c r="AV171" t="s">
        <v>225</v>
      </c>
      <c r="AW171" t="s">
        <v>225</v>
      </c>
      <c r="AX171" t="s">
        <v>225</v>
      </c>
      <c r="AY171" t="s">
        <v>225</v>
      </c>
      <c r="AZ171" t="s">
        <v>225</v>
      </c>
      <c r="BA171" t="s">
        <v>225</v>
      </c>
      <c r="BB171" t="s">
        <v>225</v>
      </c>
      <c r="BC171" t="s">
        <v>225</v>
      </c>
      <c r="BD171" t="s">
        <v>225</v>
      </c>
      <c r="BE171" t="s">
        <v>225</v>
      </c>
      <c r="BF171" t="s">
        <v>225</v>
      </c>
      <c r="BG171" t="s">
        <v>225</v>
      </c>
      <c r="BH171" t="s">
        <v>225</v>
      </c>
      <c r="BI171" t="s">
        <v>225</v>
      </c>
      <c r="BJ171" t="s">
        <v>225</v>
      </c>
      <c r="BK171" t="s">
        <v>225</v>
      </c>
      <c r="BL171" t="s">
        <v>205</v>
      </c>
      <c r="BN171" t="s">
        <v>540</v>
      </c>
      <c r="BO171" t="s">
        <v>2416</v>
      </c>
      <c r="BP171" t="s">
        <v>762</v>
      </c>
      <c r="BQ171" t="s">
        <v>539</v>
      </c>
      <c r="BR171" s="5">
        <f>1/2</f>
        <v>0.5</v>
      </c>
      <c r="BS171" s="5">
        <v>0</v>
      </c>
      <c r="BT171" s="5">
        <v>0</v>
      </c>
      <c r="BU171" s="5">
        <f>(BS171/8+BT171/4)*39</f>
        <v>0</v>
      </c>
      <c r="BV171" s="5">
        <v>0</v>
      </c>
      <c r="BW171" s="5">
        <v>0</v>
      </c>
      <c r="BX171" s="5">
        <v>3</v>
      </c>
      <c r="BY171" s="5">
        <v>1</v>
      </c>
      <c r="BZ171" s="5">
        <v>0</v>
      </c>
      <c r="CA171" s="5">
        <v>0</v>
      </c>
      <c r="CB171" s="5">
        <v>0</v>
      </c>
      <c r="CC171" s="5">
        <f>(BV171+BW171/2+BX171/8+BY171/16+BZ171/4+CA171/32)*39</f>
        <v>17.0625</v>
      </c>
      <c r="CD171" s="5">
        <v>0</v>
      </c>
      <c r="CE171" s="5">
        <v>0</v>
      </c>
      <c r="CF171" s="5">
        <f>1+1/2</f>
        <v>1.5</v>
      </c>
      <c r="CG171" s="5">
        <v>0</v>
      </c>
      <c r="CH171" s="5">
        <v>0</v>
      </c>
      <c r="CI171" s="5">
        <v>0</v>
      </c>
      <c r="CJ171" s="5">
        <v>0</v>
      </c>
      <c r="CK171" s="5">
        <v>0</v>
      </c>
      <c r="CL171" s="5">
        <f>(CD171+CE171/2+CF171/8+CG171/16+CH171/4+CJ171/32+CK171/16)*39</f>
        <v>7.3125</v>
      </c>
      <c r="CM171" s="5">
        <v>0</v>
      </c>
      <c r="CN171" s="5">
        <v>0</v>
      </c>
      <c r="CO171" s="5">
        <v>0</v>
      </c>
      <c r="CP171" s="5">
        <v>0</v>
      </c>
      <c r="CQ171" s="5">
        <v>0</v>
      </c>
      <c r="CS171">
        <f>3+7/12</f>
        <v>3.5833333333333335</v>
      </c>
      <c r="CT171">
        <v>1</v>
      </c>
      <c r="CU171">
        <v>0</v>
      </c>
      <c r="CV171">
        <v>0</v>
      </c>
      <c r="CW171">
        <f>CS171+CT171/24+CU171/48+CV171/48</f>
        <v>3.625</v>
      </c>
      <c r="CX171">
        <v>0</v>
      </c>
      <c r="CY171" t="s">
        <v>248</v>
      </c>
      <c r="DA171" t="s">
        <v>1733</v>
      </c>
      <c r="DB171" t="s">
        <v>2418</v>
      </c>
    </row>
    <row r="172" spans="1:114" x14ac:dyDescent="0.25">
      <c r="A172">
        <v>1462</v>
      </c>
      <c r="C172" t="s">
        <v>39</v>
      </c>
      <c r="D172" t="s">
        <v>2369</v>
      </c>
      <c r="E172" t="s">
        <v>2070</v>
      </c>
      <c r="H172" t="s">
        <v>2370</v>
      </c>
      <c r="I172" t="s">
        <v>219</v>
      </c>
      <c r="J172" s="16">
        <v>1342</v>
      </c>
      <c r="K172" s="16" t="s">
        <v>817</v>
      </c>
      <c r="L172" t="s">
        <v>15</v>
      </c>
      <c r="M172" s="7" t="s">
        <v>338</v>
      </c>
      <c r="N172" t="s">
        <v>236</v>
      </c>
      <c r="P172" t="s">
        <v>225</v>
      </c>
      <c r="Q172" t="s">
        <v>205</v>
      </c>
      <c r="R172" t="s">
        <v>205</v>
      </c>
      <c r="S172" t="s">
        <v>205</v>
      </c>
      <c r="T172" t="s">
        <v>225</v>
      </c>
      <c r="U172" t="s">
        <v>277</v>
      </c>
      <c r="W172" t="s">
        <v>205</v>
      </c>
      <c r="X172" t="s">
        <v>205</v>
      </c>
      <c r="Y172" t="s">
        <v>205</v>
      </c>
      <c r="Z172" t="s">
        <v>205</v>
      </c>
      <c r="AA172" t="s">
        <v>205</v>
      </c>
      <c r="AB172" t="s">
        <v>225</v>
      </c>
      <c r="AC172" t="s">
        <v>205</v>
      </c>
      <c r="AD172" t="s">
        <v>225</v>
      </c>
      <c r="AE172" t="s">
        <v>225</v>
      </c>
      <c r="AF172" t="s">
        <v>225</v>
      </c>
      <c r="AG172" t="s">
        <v>225</v>
      </c>
      <c r="AH172" t="s">
        <v>205</v>
      </c>
      <c r="AI172" t="s">
        <v>225</v>
      </c>
      <c r="AJ172" t="s">
        <v>225</v>
      </c>
      <c r="AK172" t="s">
        <v>225</v>
      </c>
      <c r="AL172" t="s">
        <v>225</v>
      </c>
      <c r="AM172" t="s">
        <v>225</v>
      </c>
      <c r="AN172" t="s">
        <v>225</v>
      </c>
      <c r="AO172" t="s">
        <v>225</v>
      </c>
      <c r="AP172" t="s">
        <v>225</v>
      </c>
      <c r="AQ172" t="s">
        <v>225</v>
      </c>
      <c r="AR172" t="s">
        <v>225</v>
      </c>
      <c r="AS172" t="s">
        <v>225</v>
      </c>
      <c r="AT172" t="s">
        <v>225</v>
      </c>
      <c r="AU172" t="s">
        <v>225</v>
      </c>
      <c r="AV172" t="s">
        <v>225</v>
      </c>
      <c r="AW172" t="s">
        <v>225</v>
      </c>
      <c r="AX172" t="s">
        <v>225</v>
      </c>
      <c r="AY172" t="s">
        <v>225</v>
      </c>
      <c r="AZ172" t="s">
        <v>225</v>
      </c>
      <c r="BA172" t="s">
        <v>225</v>
      </c>
      <c r="BB172" t="s">
        <v>225</v>
      </c>
      <c r="BC172" t="s">
        <v>225</v>
      </c>
      <c r="BD172" t="s">
        <v>225</v>
      </c>
      <c r="BE172" t="s">
        <v>225</v>
      </c>
      <c r="BF172" t="s">
        <v>225</v>
      </c>
      <c r="BG172" t="s">
        <v>225</v>
      </c>
      <c r="BH172" t="s">
        <v>225</v>
      </c>
      <c r="BI172" t="s">
        <v>225</v>
      </c>
      <c r="BJ172" t="s">
        <v>225</v>
      </c>
      <c r="BK172" t="s">
        <v>225</v>
      </c>
      <c r="BL172" t="s">
        <v>205</v>
      </c>
      <c r="BN172" t="s">
        <v>540</v>
      </c>
      <c r="BO172" t="s">
        <v>2371</v>
      </c>
      <c r="BP172" t="s">
        <v>467</v>
      </c>
      <c r="BQ172" t="s">
        <v>539</v>
      </c>
      <c r="BR172" s="5">
        <f>1/2</f>
        <v>0.5</v>
      </c>
      <c r="BS172" s="5">
        <v>0</v>
      </c>
      <c r="BT172" s="5">
        <v>0</v>
      </c>
      <c r="BU172" s="5">
        <f>(BS172/8+BT172/4)*39</f>
        <v>0</v>
      </c>
      <c r="BV172" s="5">
        <v>0</v>
      </c>
      <c r="BW172" s="5">
        <v>0</v>
      </c>
      <c r="BX172" s="5">
        <v>3</v>
      </c>
      <c r="BY172" s="5">
        <v>1</v>
      </c>
      <c r="BZ172" s="5">
        <v>0</v>
      </c>
      <c r="CA172" s="5">
        <v>0</v>
      </c>
      <c r="CB172" s="5">
        <v>0</v>
      </c>
      <c r="CC172" s="5">
        <f>(BV172+BW172/2+BX172/8+BY172/16+BZ172/4+CA172/32)*39</f>
        <v>17.0625</v>
      </c>
      <c r="CD172" s="5">
        <v>0</v>
      </c>
      <c r="CE172" s="5">
        <v>0</v>
      </c>
      <c r="CF172" s="5">
        <f>1+1/2</f>
        <v>1.5</v>
      </c>
      <c r="CG172" s="5">
        <v>0</v>
      </c>
      <c r="CH172" s="5">
        <v>0</v>
      </c>
      <c r="CI172" s="5">
        <v>0</v>
      </c>
      <c r="CJ172" s="5">
        <v>0</v>
      </c>
      <c r="CK172" s="5">
        <v>0</v>
      </c>
      <c r="CL172" s="5">
        <f>(CD172+CE172/2+CF172/8+CG172/16+CH172/4+CJ172/32+CK172/16)*39</f>
        <v>7.3125</v>
      </c>
      <c r="CM172" s="5">
        <v>0</v>
      </c>
      <c r="CN172" s="5">
        <v>0</v>
      </c>
      <c r="CO172" s="5">
        <v>0</v>
      </c>
      <c r="CP172" s="5">
        <v>0</v>
      </c>
      <c r="CQ172" s="5">
        <v>0</v>
      </c>
      <c r="CS172">
        <f>3+7/12</f>
        <v>3.5833333333333335</v>
      </c>
      <c r="CT172">
        <v>1</v>
      </c>
      <c r="CU172">
        <v>0</v>
      </c>
      <c r="CV172">
        <v>0</v>
      </c>
      <c r="CW172">
        <f>CS172+CT172/24+CU172/48+CV172/48</f>
        <v>3.625</v>
      </c>
      <c r="CX172">
        <v>0</v>
      </c>
      <c r="CY172" t="s">
        <v>248</v>
      </c>
      <c r="DB172" t="s">
        <v>2372</v>
      </c>
    </row>
    <row r="173" spans="1:114" x14ac:dyDescent="0.25">
      <c r="A173">
        <v>171</v>
      </c>
      <c r="C173" t="s">
        <v>154</v>
      </c>
      <c r="D173" t="s">
        <v>1233</v>
      </c>
      <c r="E173" t="s">
        <v>197</v>
      </c>
      <c r="G173" t="s">
        <v>1234</v>
      </c>
      <c r="I173" t="s">
        <v>220</v>
      </c>
      <c r="J173">
        <v>1342</v>
      </c>
      <c r="K173" t="s">
        <v>198</v>
      </c>
      <c r="L173">
        <v>18</v>
      </c>
      <c r="M173" s="7" t="s">
        <v>338</v>
      </c>
      <c r="N173" t="s">
        <v>358</v>
      </c>
      <c r="O173" t="s">
        <v>268</v>
      </c>
      <c r="P173" t="s">
        <v>225</v>
      </c>
      <c r="Q173" s="19" t="s">
        <v>205</v>
      </c>
      <c r="R173" t="s">
        <v>205</v>
      </c>
      <c r="S173" t="s">
        <v>205</v>
      </c>
      <c r="T173" t="s">
        <v>225</v>
      </c>
      <c r="W173" t="s">
        <v>225</v>
      </c>
      <c r="X173" t="s">
        <v>205</v>
      </c>
      <c r="Y173" t="s">
        <v>205</v>
      </c>
      <c r="Z173" t="s">
        <v>205</v>
      </c>
      <c r="AA173" t="s">
        <v>225</v>
      </c>
      <c r="AB173" t="s">
        <v>205</v>
      </c>
      <c r="AC173" t="s">
        <v>205</v>
      </c>
      <c r="AD173" t="s">
        <v>225</v>
      </c>
      <c r="AE173" t="s">
        <v>205</v>
      </c>
      <c r="AF173" t="s">
        <v>205</v>
      </c>
      <c r="AG173" t="s">
        <v>225</v>
      </c>
      <c r="AH173" t="s">
        <v>225</v>
      </c>
      <c r="AI173" t="s">
        <v>225</v>
      </c>
      <c r="AJ173" t="s">
        <v>225</v>
      </c>
      <c r="AK173" t="s">
        <v>225</v>
      </c>
      <c r="AL173" t="s">
        <v>225</v>
      </c>
      <c r="AM173" t="s">
        <v>225</v>
      </c>
      <c r="AN173" t="s">
        <v>225</v>
      </c>
      <c r="AO173" t="s">
        <v>225</v>
      </c>
      <c r="AP173" t="s">
        <v>225</v>
      </c>
      <c r="AQ173" t="s">
        <v>225</v>
      </c>
      <c r="AR173" t="s">
        <v>225</v>
      </c>
      <c r="AS173" t="s">
        <v>225</v>
      </c>
      <c r="AT173" t="s">
        <v>225</v>
      </c>
      <c r="AU173" t="s">
        <v>225</v>
      </c>
      <c r="AV173" t="s">
        <v>225</v>
      </c>
      <c r="AW173" t="s">
        <v>225</v>
      </c>
      <c r="AX173" t="s">
        <v>225</v>
      </c>
      <c r="AY173" t="s">
        <v>225</v>
      </c>
      <c r="AZ173" t="s">
        <v>225</v>
      </c>
      <c r="BA173" t="s">
        <v>225</v>
      </c>
      <c r="BB173" t="s">
        <v>225</v>
      </c>
      <c r="BC173" t="s">
        <v>225</v>
      </c>
      <c r="BD173" t="s">
        <v>225</v>
      </c>
      <c r="BE173" t="s">
        <v>225</v>
      </c>
      <c r="BF173" t="s">
        <v>225</v>
      </c>
      <c r="BG173" t="s">
        <v>225</v>
      </c>
      <c r="BH173" t="s">
        <v>225</v>
      </c>
      <c r="BI173" t="s">
        <v>225</v>
      </c>
      <c r="BJ173" t="s">
        <v>225</v>
      </c>
      <c r="BK173" t="s">
        <v>225</v>
      </c>
      <c r="BL173" t="s">
        <v>205</v>
      </c>
      <c r="BM173" t="s">
        <v>1235</v>
      </c>
      <c r="BN173" t="s">
        <v>1207</v>
      </c>
      <c r="BQ173" t="s">
        <v>3563</v>
      </c>
      <c r="BR173">
        <f>1/6</f>
        <v>0.16666666666666666</v>
      </c>
      <c r="BS173">
        <v>0</v>
      </c>
      <c r="BT173">
        <v>0</v>
      </c>
      <c r="BU173" s="5">
        <f>(BS173/8+BT173/4)*39</f>
        <v>0</v>
      </c>
      <c r="BV173">
        <v>0</v>
      </c>
      <c r="BW173">
        <v>0</v>
      </c>
      <c r="BX173">
        <f>1/2</f>
        <v>0.5</v>
      </c>
      <c r="BY173">
        <v>0</v>
      </c>
      <c r="BZ173">
        <v>0</v>
      </c>
      <c r="CA173">
        <v>0</v>
      </c>
      <c r="CB173">
        <v>0</v>
      </c>
      <c r="CC173" s="5">
        <f>(BV173+BW173/2+BX173/8+BY173/16+BZ173/4+CA173/32)*39</f>
        <v>2.4375</v>
      </c>
      <c r="CD173">
        <v>0</v>
      </c>
      <c r="CE173">
        <v>0</v>
      </c>
      <c r="CF173">
        <v>0</v>
      </c>
      <c r="CG173">
        <v>3</v>
      </c>
      <c r="CH173">
        <v>0</v>
      </c>
      <c r="CI173">
        <v>0</v>
      </c>
      <c r="CJ173">
        <v>0</v>
      </c>
      <c r="CK173">
        <v>0</v>
      </c>
      <c r="CL173" s="5">
        <f>(CD173+CE173/2+CF173/8+CG173/16+CH173/4+CJ173/32+CK173/16)*39</f>
        <v>7.3125</v>
      </c>
      <c r="CM173">
        <v>0</v>
      </c>
      <c r="CN173">
        <v>0</v>
      </c>
      <c r="CO173">
        <v>0</v>
      </c>
      <c r="CP173">
        <v>0</v>
      </c>
      <c r="CQ173">
        <v>0</v>
      </c>
      <c r="CS173">
        <f>18/12</f>
        <v>1.5</v>
      </c>
      <c r="CT173">
        <v>0</v>
      </c>
      <c r="CU173">
        <v>0</v>
      </c>
      <c r="CV173">
        <v>0</v>
      </c>
      <c r="CW173">
        <f>CS173+CT173/24+CU173/48+CV173/48</f>
        <v>1.5</v>
      </c>
      <c r="CX173">
        <v>0</v>
      </c>
      <c r="CZ173" t="s">
        <v>210</v>
      </c>
      <c r="DA173" t="s">
        <v>456</v>
      </c>
      <c r="DB173" t="s">
        <v>1236</v>
      </c>
      <c r="DC173" t="s">
        <v>262</v>
      </c>
      <c r="DD173" t="s">
        <v>693</v>
      </c>
      <c r="DE173" t="s">
        <v>1231</v>
      </c>
      <c r="DF173" t="s">
        <v>1237</v>
      </c>
      <c r="DG173" t="s">
        <v>1238</v>
      </c>
    </row>
    <row r="174" spans="1:114" x14ac:dyDescent="0.25">
      <c r="A174">
        <v>261</v>
      </c>
      <c r="C174" t="s">
        <v>3771</v>
      </c>
      <c r="D174" t="s">
        <v>1233</v>
      </c>
      <c r="E174" t="s">
        <v>197</v>
      </c>
      <c r="G174" s="4" t="s">
        <v>243</v>
      </c>
      <c r="I174" t="s">
        <v>220</v>
      </c>
      <c r="J174">
        <v>1343</v>
      </c>
      <c r="K174" t="s">
        <v>198</v>
      </c>
      <c r="L174">
        <v>31</v>
      </c>
      <c r="M174" s="7" t="s">
        <v>199</v>
      </c>
      <c r="N174" t="s">
        <v>358</v>
      </c>
      <c r="O174" t="s">
        <v>201</v>
      </c>
      <c r="P174" t="s">
        <v>225</v>
      </c>
      <c r="Q174" t="s">
        <v>205</v>
      </c>
      <c r="R174" t="s">
        <v>205</v>
      </c>
      <c r="S174" t="s">
        <v>205</v>
      </c>
      <c r="T174" t="s">
        <v>225</v>
      </c>
      <c r="U174" t="s">
        <v>278</v>
      </c>
      <c r="W174">
        <v>1</v>
      </c>
      <c r="X174" t="s">
        <v>205</v>
      </c>
      <c r="Y174" t="s">
        <v>205</v>
      </c>
      <c r="Z174" t="s">
        <v>205</v>
      </c>
      <c r="AA174" t="s">
        <v>205</v>
      </c>
      <c r="AB174" t="s">
        <v>225</v>
      </c>
      <c r="AC174" t="s">
        <v>205</v>
      </c>
      <c r="AD174" t="s">
        <v>205</v>
      </c>
      <c r="AE174" t="s">
        <v>225</v>
      </c>
      <c r="AF174" t="s">
        <v>225</v>
      </c>
      <c r="AG174" t="s">
        <v>225</v>
      </c>
      <c r="AH174" t="s">
        <v>225</v>
      </c>
      <c r="AI174" t="s">
        <v>225</v>
      </c>
      <c r="AJ174" t="s">
        <v>225</v>
      </c>
      <c r="AK174" t="s">
        <v>225</v>
      </c>
      <c r="AL174" t="s">
        <v>225</v>
      </c>
      <c r="AM174" t="s">
        <v>225</v>
      </c>
      <c r="AN174" t="s">
        <v>225</v>
      </c>
      <c r="AO174" t="s">
        <v>225</v>
      </c>
      <c r="AP174" t="s">
        <v>205</v>
      </c>
      <c r="AQ174" t="s">
        <v>225</v>
      </c>
      <c r="AR174" t="s">
        <v>225</v>
      </c>
      <c r="AS174" t="s">
        <v>225</v>
      </c>
      <c r="AT174" t="s">
        <v>225</v>
      </c>
      <c r="AU174" t="s">
        <v>225</v>
      </c>
      <c r="AV174" t="s">
        <v>225</v>
      </c>
      <c r="AW174" t="s">
        <v>225</v>
      </c>
      <c r="AX174" t="s">
        <v>225</v>
      </c>
      <c r="AY174" t="s">
        <v>225</v>
      </c>
      <c r="AZ174" t="s">
        <v>225</v>
      </c>
      <c r="BA174" t="s">
        <v>225</v>
      </c>
      <c r="BB174" t="s">
        <v>225</v>
      </c>
      <c r="BC174" t="s">
        <v>225</v>
      </c>
      <c r="BD174" t="s">
        <v>225</v>
      </c>
      <c r="BE174" t="s">
        <v>225</v>
      </c>
      <c r="BF174" t="s">
        <v>225</v>
      </c>
      <c r="BG174" t="s">
        <v>225</v>
      </c>
      <c r="BH174" t="s">
        <v>225</v>
      </c>
      <c r="BI174" t="s">
        <v>225</v>
      </c>
      <c r="BJ174" t="s">
        <v>225</v>
      </c>
      <c r="BK174" t="s">
        <v>225</v>
      </c>
      <c r="BL174" t="s">
        <v>205</v>
      </c>
      <c r="BN174" t="s">
        <v>296</v>
      </c>
      <c r="BO174" t="s">
        <v>197</v>
      </c>
      <c r="BP174" t="s">
        <v>460</v>
      </c>
      <c r="BQ174" t="s">
        <v>3563</v>
      </c>
      <c r="BR174">
        <f>1+1/6</f>
        <v>1.1666666666666667</v>
      </c>
      <c r="BS174">
        <v>0</v>
      </c>
      <c r="BT174">
        <v>0</v>
      </c>
      <c r="BU174" s="5">
        <f>(BS174/8+BT174/4)*39</f>
        <v>0</v>
      </c>
      <c r="BV174">
        <v>0</v>
      </c>
      <c r="BW174">
        <v>0</v>
      </c>
      <c r="BX174">
        <f>3.5+1/3</f>
        <v>3.8333333333333335</v>
      </c>
      <c r="BY174">
        <v>1</v>
      </c>
      <c r="BZ174">
        <v>0</v>
      </c>
      <c r="CA174">
        <v>0</v>
      </c>
      <c r="CB174">
        <v>0</v>
      </c>
      <c r="CC174" s="5">
        <f>(BV174+BW174/2+BX174/8+BY174/16+BZ174/4+CA174/32)*39</f>
        <v>21.125000000000004</v>
      </c>
      <c r="CD174">
        <v>0</v>
      </c>
      <c r="CE174">
        <v>0</v>
      </c>
      <c r="CF174">
        <v>5.5</v>
      </c>
      <c r="CG174">
        <v>0</v>
      </c>
      <c r="CH174">
        <v>0</v>
      </c>
      <c r="CI174">
        <v>0</v>
      </c>
      <c r="CJ174">
        <v>0</v>
      </c>
      <c r="CK174">
        <v>0</v>
      </c>
      <c r="CL174" s="5">
        <f>(CD174+CE174/2+CF174/8+CG174/16+CH174/4+CJ174/32+CK174/16)*39</f>
        <v>26.8125</v>
      </c>
      <c r="CM174">
        <v>0</v>
      </c>
      <c r="CN174">
        <v>0</v>
      </c>
      <c r="CO174">
        <v>0</v>
      </c>
      <c r="CP174">
        <v>0</v>
      </c>
      <c r="CQ174">
        <v>0</v>
      </c>
      <c r="CR174" t="s">
        <v>300</v>
      </c>
      <c r="CS174">
        <v>6.5</v>
      </c>
      <c r="CT174" s="12">
        <v>0</v>
      </c>
      <c r="CU174">
        <v>0</v>
      </c>
      <c r="CV174">
        <v>0</v>
      </c>
      <c r="CW174">
        <f>CS174+CT174/24+CU174/48+CV174/48</f>
        <v>6.5</v>
      </c>
      <c r="CX174">
        <v>0</v>
      </c>
      <c r="CY174" t="s">
        <v>248</v>
      </c>
      <c r="CZ174" t="s">
        <v>210</v>
      </c>
      <c r="DA174" t="s">
        <v>229</v>
      </c>
      <c r="DC174" t="s">
        <v>262</v>
      </c>
      <c r="DD174" t="s">
        <v>693</v>
      </c>
      <c r="DE174" t="s">
        <v>213</v>
      </c>
      <c r="DF174" t="s">
        <v>216</v>
      </c>
    </row>
    <row r="175" spans="1:114" x14ac:dyDescent="0.25">
      <c r="A175">
        <v>1611</v>
      </c>
      <c r="C175" t="s">
        <v>13</v>
      </c>
      <c r="D175" t="s">
        <v>142</v>
      </c>
      <c r="E175" t="s">
        <v>2830</v>
      </c>
      <c r="I175" t="s">
        <v>219</v>
      </c>
      <c r="J175" s="5">
        <v>1343</v>
      </c>
      <c r="K175" t="s">
        <v>249</v>
      </c>
      <c r="L175">
        <v>4</v>
      </c>
      <c r="M175" s="8" t="s">
        <v>338</v>
      </c>
      <c r="N175" s="8" t="s">
        <v>2860</v>
      </c>
      <c r="V175" t="s">
        <v>1463</v>
      </c>
      <c r="W175" t="s">
        <v>225</v>
      </c>
      <c r="X175" t="s">
        <v>225</v>
      </c>
      <c r="Y175" t="s">
        <v>205</v>
      </c>
      <c r="Z175" t="s">
        <v>225</v>
      </c>
      <c r="AA175" t="s">
        <v>225</v>
      </c>
      <c r="AB175" t="s">
        <v>225</v>
      </c>
      <c r="AC175">
        <v>2</v>
      </c>
      <c r="AD175" t="s">
        <v>205</v>
      </c>
      <c r="AE175" t="s">
        <v>225</v>
      </c>
      <c r="AF175" t="s">
        <v>225</v>
      </c>
      <c r="AG175" t="s">
        <v>225</v>
      </c>
      <c r="AH175" t="s">
        <v>225</v>
      </c>
      <c r="AI175" t="s">
        <v>225</v>
      </c>
      <c r="AJ175" t="s">
        <v>225</v>
      </c>
      <c r="AK175" t="s">
        <v>225</v>
      </c>
      <c r="AL175" t="s">
        <v>225</v>
      </c>
      <c r="AM175" t="s">
        <v>225</v>
      </c>
      <c r="AN175" t="s">
        <v>225</v>
      </c>
      <c r="AO175" t="s">
        <v>225</v>
      </c>
      <c r="AP175" t="s">
        <v>225</v>
      </c>
      <c r="AQ175" t="s">
        <v>225</v>
      </c>
      <c r="AR175" t="s">
        <v>225</v>
      </c>
      <c r="AS175" t="s">
        <v>225</v>
      </c>
      <c r="AT175" t="s">
        <v>225</v>
      </c>
      <c r="AU175" t="s">
        <v>225</v>
      </c>
      <c r="AV175" t="s">
        <v>225</v>
      </c>
      <c r="AW175" t="s">
        <v>225</v>
      </c>
      <c r="AX175" t="s">
        <v>225</v>
      </c>
      <c r="AY175" t="s">
        <v>225</v>
      </c>
      <c r="AZ175" t="s">
        <v>225</v>
      </c>
      <c r="BA175" t="s">
        <v>225</v>
      </c>
      <c r="BB175" t="s">
        <v>225</v>
      </c>
      <c r="BC175" t="s">
        <v>225</v>
      </c>
      <c r="BD175" t="s">
        <v>225</v>
      </c>
      <c r="BE175" t="s">
        <v>225</v>
      </c>
      <c r="BF175" t="s">
        <v>225</v>
      </c>
      <c r="BG175" t="s">
        <v>225</v>
      </c>
      <c r="BH175" t="s">
        <v>225</v>
      </c>
      <c r="BI175" t="s">
        <v>225</v>
      </c>
      <c r="BJ175" t="s">
        <v>225</v>
      </c>
      <c r="BK175" t="s">
        <v>225</v>
      </c>
      <c r="BL175" t="s">
        <v>225</v>
      </c>
      <c r="BN175" t="s">
        <v>2858</v>
      </c>
      <c r="BQ175" t="s">
        <v>539</v>
      </c>
      <c r="BR175" s="5">
        <v>0</v>
      </c>
      <c r="BS175" s="5">
        <v>0</v>
      </c>
      <c r="BT175" s="5">
        <v>0</v>
      </c>
      <c r="BU175" s="5">
        <f>(BS175/8+BT175/4)*39</f>
        <v>0</v>
      </c>
      <c r="BV175" s="5">
        <v>0</v>
      </c>
      <c r="BW175" s="5">
        <v>0</v>
      </c>
      <c r="BX175" s="5">
        <f>1+1/2</f>
        <v>1.5</v>
      </c>
      <c r="BY175" s="5">
        <f>1/2</f>
        <v>0.5</v>
      </c>
      <c r="BZ175" s="5">
        <v>0</v>
      </c>
      <c r="CA175" s="5">
        <v>0</v>
      </c>
      <c r="CB175" s="5">
        <v>0</v>
      </c>
      <c r="CC175" s="5">
        <f>(BV175+BW175/2+BX175/8+BY175/16+BZ175/4+CA175/32)*39</f>
        <v>8.53125</v>
      </c>
      <c r="CD175" s="5">
        <v>0</v>
      </c>
      <c r="CE175" s="5">
        <v>0</v>
      </c>
      <c r="CF175" s="5">
        <f>1/2</f>
        <v>0.5</v>
      </c>
      <c r="CG175" s="5">
        <f>1/2</f>
        <v>0.5</v>
      </c>
      <c r="CH175" s="5">
        <v>0</v>
      </c>
      <c r="CI175" s="5">
        <v>0</v>
      </c>
      <c r="CJ175" s="5">
        <v>0</v>
      </c>
      <c r="CK175" s="5">
        <v>0</v>
      </c>
      <c r="CL175" s="5">
        <f>(CD175+CE175/2+CF175/8+CG175/16+CH175/4+CJ175/32+CK175/16)*39</f>
        <v>3.65625</v>
      </c>
      <c r="CM175" s="5">
        <v>0</v>
      </c>
      <c r="CN175" s="5">
        <v>0</v>
      </c>
      <c r="CO175" s="5">
        <v>0</v>
      </c>
      <c r="CP175" s="5">
        <v>0</v>
      </c>
      <c r="CQ175" s="5">
        <v>0</v>
      </c>
      <c r="CS175">
        <f>21/12</f>
        <v>1.75</v>
      </c>
      <c r="CT175">
        <v>0</v>
      </c>
      <c r="CU175">
        <v>0</v>
      </c>
      <c r="CV175">
        <v>1</v>
      </c>
      <c r="CW175">
        <f>CS175+CT175/24+CU175/48+CV175/48</f>
        <v>1.7708333333333333</v>
      </c>
      <c r="CX175">
        <v>0</v>
      </c>
      <c r="CY175" t="s">
        <v>2797</v>
      </c>
      <c r="CZ175" t="s">
        <v>210</v>
      </c>
      <c r="DA175" t="s">
        <v>1733</v>
      </c>
      <c r="DB175" t="s">
        <v>2859</v>
      </c>
      <c r="DC175" t="s">
        <v>262</v>
      </c>
      <c r="DD175" t="s">
        <v>693</v>
      </c>
      <c r="DE175" t="s">
        <v>2870</v>
      </c>
      <c r="DF175" t="s">
        <v>2871</v>
      </c>
    </row>
    <row r="176" spans="1:114" x14ac:dyDescent="0.25">
      <c r="A176">
        <v>1293</v>
      </c>
      <c r="C176" t="s">
        <v>13</v>
      </c>
      <c r="D176" t="s">
        <v>1699</v>
      </c>
      <c r="E176" t="s">
        <v>1626</v>
      </c>
      <c r="I176" t="s">
        <v>219</v>
      </c>
      <c r="J176">
        <v>1343</v>
      </c>
      <c r="K176" t="s">
        <v>1097</v>
      </c>
      <c r="L176">
        <v>10</v>
      </c>
      <c r="M176" s="7" t="s">
        <v>338</v>
      </c>
      <c r="N176" t="s">
        <v>986</v>
      </c>
      <c r="V176" t="s">
        <v>1463</v>
      </c>
      <c r="W176" t="s">
        <v>225</v>
      </c>
      <c r="X176" t="s">
        <v>225</v>
      </c>
      <c r="Y176" t="s">
        <v>225</v>
      </c>
      <c r="Z176" s="5" t="s">
        <v>225</v>
      </c>
      <c r="AA176" s="5" t="s">
        <v>225</v>
      </c>
      <c r="AB176" s="5" t="s">
        <v>225</v>
      </c>
      <c r="AC176" s="5" t="s">
        <v>225</v>
      </c>
      <c r="AD176" s="5">
        <v>2</v>
      </c>
      <c r="AE176" s="5" t="s">
        <v>225</v>
      </c>
      <c r="AF176" s="5" t="s">
        <v>225</v>
      </c>
      <c r="AG176" s="5" t="s">
        <v>225</v>
      </c>
      <c r="AH176" s="5" t="s">
        <v>225</v>
      </c>
      <c r="AI176" s="5" t="s">
        <v>225</v>
      </c>
      <c r="AJ176" s="5" t="s">
        <v>225</v>
      </c>
      <c r="AK176" s="5" t="s">
        <v>225</v>
      </c>
      <c r="AL176" s="5" t="s">
        <v>225</v>
      </c>
      <c r="AM176" s="5" t="s">
        <v>225</v>
      </c>
      <c r="AN176" s="5" t="s">
        <v>225</v>
      </c>
      <c r="AO176" s="5" t="s">
        <v>225</v>
      </c>
      <c r="AP176" s="5" t="s">
        <v>225</v>
      </c>
      <c r="AQ176" s="5" t="s">
        <v>225</v>
      </c>
      <c r="AR176" s="5" t="s">
        <v>225</v>
      </c>
      <c r="AS176" s="5" t="s">
        <v>225</v>
      </c>
      <c r="AT176" s="5" t="s">
        <v>225</v>
      </c>
      <c r="AU176" s="5" t="s">
        <v>225</v>
      </c>
      <c r="AV176" s="5" t="s">
        <v>225</v>
      </c>
      <c r="AW176" s="5" t="s">
        <v>225</v>
      </c>
      <c r="AX176" s="5" t="s">
        <v>225</v>
      </c>
      <c r="AY176" t="s">
        <v>225</v>
      </c>
      <c r="AZ176" t="s">
        <v>225</v>
      </c>
      <c r="BA176" t="s">
        <v>225</v>
      </c>
      <c r="BB176" t="s">
        <v>225</v>
      </c>
      <c r="BC176" t="s">
        <v>225</v>
      </c>
      <c r="BD176" t="s">
        <v>225</v>
      </c>
      <c r="BE176" t="s">
        <v>225</v>
      </c>
      <c r="BF176" t="s">
        <v>225</v>
      </c>
      <c r="BG176" t="s">
        <v>225</v>
      </c>
      <c r="BH176" t="s">
        <v>225</v>
      </c>
      <c r="BI176" t="s">
        <v>225</v>
      </c>
      <c r="BJ176" t="s">
        <v>225</v>
      </c>
      <c r="BK176" t="s">
        <v>225</v>
      </c>
      <c r="BL176" s="5" t="s">
        <v>225</v>
      </c>
      <c r="BN176" s="5" t="s">
        <v>1370</v>
      </c>
      <c r="BQ176" t="s">
        <v>3567</v>
      </c>
      <c r="BR176" s="5">
        <v>0</v>
      </c>
      <c r="BS176" s="5">
        <v>0</v>
      </c>
      <c r="BT176" s="5">
        <v>0</v>
      </c>
      <c r="BU176" s="5">
        <f>(BS176/8+BT176/4)*39</f>
        <v>0</v>
      </c>
      <c r="BV176" s="5">
        <v>0</v>
      </c>
      <c r="BW176" s="5">
        <v>0</v>
      </c>
      <c r="BX176" s="5">
        <v>1</v>
      </c>
      <c r="BY176" s="5">
        <v>0</v>
      </c>
      <c r="BZ176" s="5">
        <v>0</v>
      </c>
      <c r="CA176" s="5">
        <v>0</v>
      </c>
      <c r="CB176" s="5">
        <v>0</v>
      </c>
      <c r="CC176" s="5">
        <f>(BV176+BX176/8+BY176/32+CA176/32+CB176/4)*39</f>
        <v>4.875</v>
      </c>
      <c r="CD176" s="5">
        <v>0</v>
      </c>
      <c r="CE176" s="5">
        <v>0</v>
      </c>
      <c r="CF176" s="5">
        <v>0</v>
      </c>
      <c r="CG176" s="5">
        <v>0</v>
      </c>
      <c r="CH176" s="5">
        <v>0</v>
      </c>
      <c r="CI176" s="5">
        <v>0</v>
      </c>
      <c r="CJ176" s="5">
        <v>0</v>
      </c>
      <c r="CK176" s="5">
        <v>0</v>
      </c>
      <c r="CL176" s="5">
        <f>(CD176+CF176/8+CG176/32+CI176/4+CJ176/32)*39</f>
        <v>0</v>
      </c>
      <c r="CM176" s="5">
        <v>0</v>
      </c>
      <c r="CN176" s="5">
        <v>0</v>
      </c>
      <c r="CO176" s="5">
        <v>0</v>
      </c>
      <c r="CP176" s="5">
        <v>0</v>
      </c>
      <c r="CQ176" s="5">
        <v>0</v>
      </c>
      <c r="CS176">
        <v>0</v>
      </c>
      <c r="CT176">
        <v>0</v>
      </c>
      <c r="CU176">
        <v>0</v>
      </c>
      <c r="CV176">
        <v>0</v>
      </c>
      <c r="CW176">
        <f>CS176+CT176/24+CU176/48+CV176/48</f>
        <v>0</v>
      </c>
      <c r="CX176">
        <v>0</v>
      </c>
      <c r="CZ176" t="s">
        <v>210</v>
      </c>
      <c r="DC176" t="s">
        <v>1645</v>
      </c>
      <c r="DD176" t="s">
        <v>693</v>
      </c>
      <c r="DE176" t="s">
        <v>263</v>
      </c>
      <c r="DF176" t="s">
        <v>1571</v>
      </c>
      <c r="DG176" t="s">
        <v>1666</v>
      </c>
    </row>
    <row r="177" spans="1:114" x14ac:dyDescent="0.25">
      <c r="A177">
        <v>1303</v>
      </c>
      <c r="C177" t="s">
        <v>465</v>
      </c>
      <c r="D177" t="s">
        <v>1722</v>
      </c>
      <c r="E177" t="s">
        <v>1723</v>
      </c>
      <c r="I177" t="s">
        <v>219</v>
      </c>
      <c r="J177">
        <v>1343</v>
      </c>
      <c r="K177" t="s">
        <v>1097</v>
      </c>
      <c r="L177">
        <v>10</v>
      </c>
      <c r="M177" s="7" t="s">
        <v>338</v>
      </c>
      <c r="N177" t="s">
        <v>986</v>
      </c>
      <c r="V177" t="s">
        <v>1463</v>
      </c>
      <c r="W177" t="s">
        <v>225</v>
      </c>
      <c r="X177" t="s">
        <v>225</v>
      </c>
      <c r="Y177" t="s">
        <v>225</v>
      </c>
      <c r="Z177" s="5" t="s">
        <v>225</v>
      </c>
      <c r="AA177" s="5" t="s">
        <v>225</v>
      </c>
      <c r="AB177" s="5" t="s">
        <v>225</v>
      </c>
      <c r="AC177" s="5" t="s">
        <v>225</v>
      </c>
      <c r="AD177" s="5">
        <v>2</v>
      </c>
      <c r="AE177" s="5" t="s">
        <v>225</v>
      </c>
      <c r="AF177" s="5" t="s">
        <v>225</v>
      </c>
      <c r="AG177" s="5" t="s">
        <v>225</v>
      </c>
      <c r="AH177" s="5" t="s">
        <v>225</v>
      </c>
      <c r="AI177" s="5" t="s">
        <v>225</v>
      </c>
      <c r="AJ177" s="5" t="s">
        <v>225</v>
      </c>
      <c r="AK177" s="5" t="s">
        <v>225</v>
      </c>
      <c r="AL177" s="5" t="s">
        <v>225</v>
      </c>
      <c r="AM177" s="5" t="s">
        <v>225</v>
      </c>
      <c r="AN177" s="5" t="s">
        <v>225</v>
      </c>
      <c r="AO177" s="5" t="s">
        <v>225</v>
      </c>
      <c r="AP177" s="5" t="s">
        <v>225</v>
      </c>
      <c r="AQ177" s="5" t="s">
        <v>225</v>
      </c>
      <c r="AR177" s="5" t="s">
        <v>225</v>
      </c>
      <c r="AS177" s="5" t="s">
        <v>225</v>
      </c>
      <c r="AT177" s="5" t="s">
        <v>225</v>
      </c>
      <c r="AU177" s="5" t="s">
        <v>225</v>
      </c>
      <c r="AV177" s="5" t="s">
        <v>225</v>
      </c>
      <c r="AW177" s="5" t="s">
        <v>225</v>
      </c>
      <c r="AX177" s="5" t="s">
        <v>225</v>
      </c>
      <c r="AY177" t="s">
        <v>225</v>
      </c>
      <c r="AZ177" t="s">
        <v>225</v>
      </c>
      <c r="BA177" t="s">
        <v>225</v>
      </c>
      <c r="BB177" t="s">
        <v>225</v>
      </c>
      <c r="BC177" t="s">
        <v>225</v>
      </c>
      <c r="BD177" t="s">
        <v>225</v>
      </c>
      <c r="BE177" t="s">
        <v>225</v>
      </c>
      <c r="BF177" t="s">
        <v>225</v>
      </c>
      <c r="BG177" t="s">
        <v>225</v>
      </c>
      <c r="BH177" t="s">
        <v>225</v>
      </c>
      <c r="BI177" t="s">
        <v>225</v>
      </c>
      <c r="BJ177" t="s">
        <v>225</v>
      </c>
      <c r="BK177" t="s">
        <v>225</v>
      </c>
      <c r="BL177" s="5" t="s">
        <v>225</v>
      </c>
      <c r="BN177" s="5" t="s">
        <v>1370</v>
      </c>
      <c r="BQ177" t="s">
        <v>3567</v>
      </c>
      <c r="BR177" s="5">
        <v>0</v>
      </c>
      <c r="BS177" s="5">
        <v>0</v>
      </c>
      <c r="BT177" s="5">
        <v>0</v>
      </c>
      <c r="BU177" s="5">
        <f>(BS177/8+BT177/4)*39</f>
        <v>0</v>
      </c>
      <c r="BV177" s="5">
        <v>0</v>
      </c>
      <c r="BW177" s="5">
        <v>0</v>
      </c>
      <c r="BX177" s="5">
        <v>0</v>
      </c>
      <c r="BY177" s="5">
        <v>0</v>
      </c>
      <c r="BZ177" s="5">
        <v>0</v>
      </c>
      <c r="CA177" s="5">
        <v>0</v>
      </c>
      <c r="CB177" s="5">
        <v>1</v>
      </c>
      <c r="CC177" s="5">
        <f>(BV177+BX177/8+BY177/32+CA177/32+CB177/4)*39</f>
        <v>9.75</v>
      </c>
      <c r="CD177" s="5">
        <v>0</v>
      </c>
      <c r="CE177" s="5">
        <v>0</v>
      </c>
      <c r="CF177" s="5">
        <v>0</v>
      </c>
      <c r="CG177" s="5">
        <v>0</v>
      </c>
      <c r="CH177" s="5">
        <v>0</v>
      </c>
      <c r="CI177" s="5">
        <v>0</v>
      </c>
      <c r="CJ177" s="5">
        <v>0</v>
      </c>
      <c r="CK177" s="5">
        <v>0</v>
      </c>
      <c r="CL177" s="5">
        <f>(CD177+CF177/8+CG177/32+CI177/4+CJ177/32)*39</f>
        <v>0</v>
      </c>
      <c r="CM177" s="5">
        <v>0</v>
      </c>
      <c r="CN177" s="5">
        <v>0</v>
      </c>
      <c r="CO177" s="5">
        <v>0</v>
      </c>
      <c r="CP177" s="5">
        <v>0</v>
      </c>
      <c r="CQ177" s="5">
        <v>0</v>
      </c>
      <c r="CS177">
        <v>0</v>
      </c>
      <c r="CT177">
        <v>0</v>
      </c>
      <c r="CU177">
        <v>0</v>
      </c>
      <c r="CV177">
        <v>0</v>
      </c>
      <c r="CW177">
        <f>CS177+CT177/24+CU177/48+CV177/48</f>
        <v>0</v>
      </c>
      <c r="CX177">
        <v>0</v>
      </c>
      <c r="CZ177" t="s">
        <v>210</v>
      </c>
      <c r="DC177" t="s">
        <v>1645</v>
      </c>
      <c r="DD177" t="s">
        <v>693</v>
      </c>
      <c r="DE177" t="s">
        <v>263</v>
      </c>
      <c r="DF177" t="s">
        <v>1729</v>
      </c>
      <c r="DG177" t="s">
        <v>1713</v>
      </c>
    </row>
    <row r="178" spans="1:114" x14ac:dyDescent="0.25">
      <c r="A178">
        <v>561</v>
      </c>
      <c r="C178" t="s">
        <v>13</v>
      </c>
      <c r="D178" t="s">
        <v>75</v>
      </c>
      <c r="E178" t="s">
        <v>68</v>
      </c>
      <c r="I178" t="s">
        <v>219</v>
      </c>
      <c r="J178">
        <v>1343</v>
      </c>
      <c r="K178" t="s">
        <v>249</v>
      </c>
      <c r="L178">
        <v>23</v>
      </c>
      <c r="M178" s="7" t="s">
        <v>338</v>
      </c>
      <c r="N178" t="s">
        <v>236</v>
      </c>
      <c r="O178" t="s">
        <v>201</v>
      </c>
      <c r="P178" t="s">
        <v>225</v>
      </c>
      <c r="Q178" t="s">
        <v>205</v>
      </c>
      <c r="R178" t="s">
        <v>205</v>
      </c>
      <c r="S178" t="s">
        <v>205</v>
      </c>
      <c r="T178" t="s">
        <v>225</v>
      </c>
      <c r="U178" t="s">
        <v>277</v>
      </c>
      <c r="V178" t="s">
        <v>204</v>
      </c>
      <c r="W178" t="s">
        <v>205</v>
      </c>
      <c r="X178" t="s">
        <v>205</v>
      </c>
      <c r="Y178" t="s">
        <v>205</v>
      </c>
      <c r="Z178" t="s">
        <v>205</v>
      </c>
      <c r="AA178" t="s">
        <v>225</v>
      </c>
      <c r="AB178" t="s">
        <v>205</v>
      </c>
      <c r="AC178" t="s">
        <v>205</v>
      </c>
      <c r="AD178" t="s">
        <v>225</v>
      </c>
      <c r="AE178" t="s">
        <v>205</v>
      </c>
      <c r="AF178" t="s">
        <v>205</v>
      </c>
      <c r="AG178" t="s">
        <v>205</v>
      </c>
      <c r="AH178" t="s">
        <v>225</v>
      </c>
      <c r="AI178" t="s">
        <v>225</v>
      </c>
      <c r="AJ178" t="s">
        <v>225</v>
      </c>
      <c r="AK178" t="s">
        <v>225</v>
      </c>
      <c r="AL178" t="s">
        <v>225</v>
      </c>
      <c r="AM178" t="s">
        <v>225</v>
      </c>
      <c r="AN178" t="s">
        <v>225</v>
      </c>
      <c r="AO178" t="s">
        <v>225</v>
      </c>
      <c r="AP178" t="s">
        <v>225</v>
      </c>
      <c r="AQ178" t="s">
        <v>225</v>
      </c>
      <c r="AR178" t="s">
        <v>225</v>
      </c>
      <c r="AS178" t="s">
        <v>225</v>
      </c>
      <c r="AT178" t="s">
        <v>225</v>
      </c>
      <c r="AU178" t="s">
        <v>225</v>
      </c>
      <c r="AV178" t="s">
        <v>225</v>
      </c>
      <c r="AW178" t="s">
        <v>225</v>
      </c>
      <c r="AX178" t="s">
        <v>225</v>
      </c>
      <c r="AY178" t="s">
        <v>225</v>
      </c>
      <c r="AZ178" t="s">
        <v>225</v>
      </c>
      <c r="BA178" t="s">
        <v>225</v>
      </c>
      <c r="BB178" t="s">
        <v>225</v>
      </c>
      <c r="BC178" t="s">
        <v>225</v>
      </c>
      <c r="BD178" t="s">
        <v>225</v>
      </c>
      <c r="BE178" t="s">
        <v>225</v>
      </c>
      <c r="BF178" t="s">
        <v>225</v>
      </c>
      <c r="BG178" t="s">
        <v>225</v>
      </c>
      <c r="BH178" t="s">
        <v>225</v>
      </c>
      <c r="BI178" t="s">
        <v>225</v>
      </c>
      <c r="BJ178" t="s">
        <v>225</v>
      </c>
      <c r="BK178" t="s">
        <v>225</v>
      </c>
      <c r="BL178" t="s">
        <v>205</v>
      </c>
      <c r="BN178" t="s">
        <v>3850</v>
      </c>
      <c r="BO178" t="s">
        <v>571</v>
      </c>
      <c r="BQ178" t="s">
        <v>3563</v>
      </c>
      <c r="BR178">
        <v>1</v>
      </c>
      <c r="BS178">
        <v>0</v>
      </c>
      <c r="BT178">
        <v>0</v>
      </c>
      <c r="BU178" s="5">
        <f>(BS178/8+BT178/4)*39</f>
        <v>0</v>
      </c>
      <c r="BV178">
        <v>3</v>
      </c>
      <c r="BW178">
        <v>0</v>
      </c>
      <c r="BX178">
        <f>1/4</f>
        <v>0.25</v>
      </c>
      <c r="BY178">
        <v>0</v>
      </c>
      <c r="BZ178">
        <v>1</v>
      </c>
      <c r="CA178">
        <v>0</v>
      </c>
      <c r="CB178">
        <v>0</v>
      </c>
      <c r="CC178" s="5">
        <f>(BV178+BW178/2+BX178/8+BY178/16+BZ178/4+CA178/32)*39</f>
        <v>127.96875</v>
      </c>
      <c r="CD178" s="8">
        <v>0</v>
      </c>
      <c r="CE178" s="8">
        <v>0</v>
      </c>
      <c r="CF178" s="8">
        <v>9</v>
      </c>
      <c r="CG178" s="8">
        <v>0</v>
      </c>
      <c r="CH178" s="8">
        <v>0</v>
      </c>
      <c r="CI178" s="8">
        <v>0</v>
      </c>
      <c r="CJ178">
        <v>0</v>
      </c>
      <c r="CK178" s="8">
        <v>0</v>
      </c>
      <c r="CL178" s="5">
        <f>(CD178+CE178/2+CF178/8+CG178/16+CH178/4+CJ178/32+CK178/16)*39</f>
        <v>43.875</v>
      </c>
      <c r="CM178" s="8">
        <v>0</v>
      </c>
      <c r="CN178" s="8">
        <v>0</v>
      </c>
      <c r="CO178" s="8">
        <v>0</v>
      </c>
      <c r="CP178" s="8">
        <v>0</v>
      </c>
      <c r="CQ178" s="8">
        <v>0</v>
      </c>
      <c r="CR178" t="s">
        <v>3856</v>
      </c>
      <c r="CS178">
        <f>22+2/12</f>
        <v>22.166666666666668</v>
      </c>
      <c r="CT178">
        <v>0</v>
      </c>
      <c r="CU178">
        <v>0</v>
      </c>
      <c r="CV178" s="8">
        <v>0</v>
      </c>
      <c r="CW178">
        <f>CS178+CT178/24+CU178/48+CV178/48</f>
        <v>22.166666666666668</v>
      </c>
      <c r="CX178">
        <v>0</v>
      </c>
      <c r="CY178" t="s">
        <v>248</v>
      </c>
      <c r="CZ178" t="s">
        <v>210</v>
      </c>
      <c r="DA178" t="s">
        <v>589</v>
      </c>
      <c r="DB178" t="s">
        <v>598</v>
      </c>
      <c r="DC178" t="s">
        <v>262</v>
      </c>
      <c r="DD178" t="s">
        <v>693</v>
      </c>
      <c r="DE178" t="s">
        <v>752</v>
      </c>
      <c r="DF178" t="s">
        <v>3857</v>
      </c>
      <c r="DG178" t="s">
        <v>372</v>
      </c>
      <c r="DJ178" t="s">
        <v>483</v>
      </c>
    </row>
    <row r="179" spans="1:114" x14ac:dyDescent="0.25">
      <c r="A179">
        <v>571</v>
      </c>
      <c r="C179" t="s">
        <v>593</v>
      </c>
      <c r="D179" t="s">
        <v>75</v>
      </c>
      <c r="E179" t="s">
        <v>68</v>
      </c>
      <c r="G179" t="s">
        <v>594</v>
      </c>
      <c r="H179" t="s">
        <v>3801</v>
      </c>
      <c r="I179" t="s">
        <v>219</v>
      </c>
      <c r="J179">
        <v>1343</v>
      </c>
      <c r="K179" t="s">
        <v>249</v>
      </c>
      <c r="L179">
        <v>23</v>
      </c>
      <c r="M179" s="7" t="s">
        <v>338</v>
      </c>
      <c r="N179" t="s">
        <v>236</v>
      </c>
      <c r="O179" t="s">
        <v>201</v>
      </c>
      <c r="P179" t="s">
        <v>225</v>
      </c>
      <c r="Q179" s="19" t="s">
        <v>205</v>
      </c>
      <c r="R179" t="s">
        <v>205</v>
      </c>
      <c r="S179" t="s">
        <v>205</v>
      </c>
      <c r="T179" t="s">
        <v>225</v>
      </c>
      <c r="V179" t="s">
        <v>204</v>
      </c>
      <c r="W179" t="s">
        <v>205</v>
      </c>
      <c r="X179" t="s">
        <v>205</v>
      </c>
      <c r="Y179" t="s">
        <v>205</v>
      </c>
      <c r="Z179" t="s">
        <v>205</v>
      </c>
      <c r="AA179" t="s">
        <v>225</v>
      </c>
      <c r="AB179" t="s">
        <v>205</v>
      </c>
      <c r="AC179" t="s">
        <v>205</v>
      </c>
      <c r="AD179" t="s">
        <v>225</v>
      </c>
      <c r="AE179" t="s">
        <v>205</v>
      </c>
      <c r="AF179" t="s">
        <v>205</v>
      </c>
      <c r="AG179" t="s">
        <v>225</v>
      </c>
      <c r="AH179" t="s">
        <v>225</v>
      </c>
      <c r="AI179" t="s">
        <v>225</v>
      </c>
      <c r="AJ179" t="s">
        <v>225</v>
      </c>
      <c r="AK179" t="s">
        <v>225</v>
      </c>
      <c r="AL179" t="s">
        <v>225</v>
      </c>
      <c r="AM179" t="s">
        <v>225</v>
      </c>
      <c r="AN179" t="s">
        <v>225</v>
      </c>
      <c r="AO179" t="s">
        <v>225</v>
      </c>
      <c r="AP179" t="s">
        <v>225</v>
      </c>
      <c r="AQ179" t="s">
        <v>225</v>
      </c>
      <c r="AR179" t="s">
        <v>225</v>
      </c>
      <c r="AS179" t="s">
        <v>225</v>
      </c>
      <c r="AT179" t="s">
        <v>225</v>
      </c>
      <c r="AU179" t="s">
        <v>225</v>
      </c>
      <c r="AV179" t="s">
        <v>225</v>
      </c>
      <c r="AW179" t="s">
        <v>225</v>
      </c>
      <c r="AX179" t="s">
        <v>225</v>
      </c>
      <c r="AY179" t="s">
        <v>225</v>
      </c>
      <c r="AZ179" t="s">
        <v>225</v>
      </c>
      <c r="BA179" t="s">
        <v>225</v>
      </c>
      <c r="BB179" t="s">
        <v>225</v>
      </c>
      <c r="BC179" t="s">
        <v>225</v>
      </c>
      <c r="BD179" t="s">
        <v>225</v>
      </c>
      <c r="BE179" t="s">
        <v>225</v>
      </c>
      <c r="BF179" t="s">
        <v>225</v>
      </c>
      <c r="BG179" t="s">
        <v>225</v>
      </c>
      <c r="BH179" t="s">
        <v>225</v>
      </c>
      <c r="BI179" t="s">
        <v>225</v>
      </c>
      <c r="BJ179" t="s">
        <v>225</v>
      </c>
      <c r="BK179" t="s">
        <v>225</v>
      </c>
      <c r="BL179" t="s">
        <v>205</v>
      </c>
      <c r="BO179" t="s">
        <v>595</v>
      </c>
      <c r="BQ179" t="s">
        <v>3563</v>
      </c>
      <c r="BR179">
        <v>1</v>
      </c>
      <c r="BS179">
        <v>0</v>
      </c>
      <c r="BT179">
        <v>0</v>
      </c>
      <c r="BU179" s="5">
        <f>(BS179/8+BT179/4)*39</f>
        <v>0</v>
      </c>
      <c r="BV179">
        <v>0</v>
      </c>
      <c r="BW179">
        <v>0</v>
      </c>
      <c r="BX179">
        <f>12+1/6</f>
        <v>12.166666666666666</v>
      </c>
      <c r="BY179">
        <v>0</v>
      </c>
      <c r="BZ179">
        <v>0</v>
      </c>
      <c r="CA179">
        <v>0</v>
      </c>
      <c r="CB179">
        <v>0</v>
      </c>
      <c r="CC179" s="5">
        <f>(BV179+BW179/2+BX179/8+BY179/16+BZ179/4+CA179/32)*39</f>
        <v>59.3125</v>
      </c>
      <c r="CD179">
        <v>0</v>
      </c>
      <c r="CE179">
        <v>1</v>
      </c>
      <c r="CF179">
        <f>1/2</f>
        <v>0.5</v>
      </c>
      <c r="CG179">
        <v>0</v>
      </c>
      <c r="CH179">
        <v>0</v>
      </c>
      <c r="CI179">
        <v>0</v>
      </c>
      <c r="CJ179">
        <v>0</v>
      </c>
      <c r="CK179">
        <v>0</v>
      </c>
      <c r="CL179" s="5">
        <f>(CD179+CE179/2+CF179/8+CG179/16+CH179/4+CJ179/32+CK179/16)*39</f>
        <v>21.9375</v>
      </c>
      <c r="CM179">
        <v>0</v>
      </c>
      <c r="CN179">
        <v>0</v>
      </c>
      <c r="CO179">
        <v>0</v>
      </c>
      <c r="CP179">
        <v>0</v>
      </c>
      <c r="CQ179">
        <v>0</v>
      </c>
      <c r="CS179">
        <f>10+8/12</f>
        <v>10.666666666666666</v>
      </c>
      <c r="CT179">
        <v>0</v>
      </c>
      <c r="CU179">
        <v>0</v>
      </c>
      <c r="CV179">
        <v>0</v>
      </c>
      <c r="CW179">
        <f>CS179+CT179/24+CU179/48+CV179/48</f>
        <v>10.666666666666666</v>
      </c>
      <c r="CX179">
        <v>0</v>
      </c>
      <c r="CY179" t="s">
        <v>248</v>
      </c>
      <c r="CZ179" t="s">
        <v>210</v>
      </c>
      <c r="DA179" t="s">
        <v>589</v>
      </c>
      <c r="DB179" t="s">
        <v>598</v>
      </c>
      <c r="DC179" t="s">
        <v>262</v>
      </c>
      <c r="DD179" t="s">
        <v>693</v>
      </c>
      <c r="DE179" t="s">
        <v>599</v>
      </c>
      <c r="DF179" t="s">
        <v>600</v>
      </c>
      <c r="DG179" t="s">
        <v>372</v>
      </c>
      <c r="DJ179" t="s">
        <v>483</v>
      </c>
    </row>
    <row r="180" spans="1:114" x14ac:dyDescent="0.25">
      <c r="A180">
        <v>1862</v>
      </c>
      <c r="C180" t="s">
        <v>32</v>
      </c>
      <c r="D180" t="s">
        <v>75</v>
      </c>
      <c r="E180" t="s">
        <v>3906</v>
      </c>
      <c r="F180" t="s">
        <v>3915</v>
      </c>
      <c r="H180" t="s">
        <v>3514</v>
      </c>
      <c r="I180" t="s">
        <v>219</v>
      </c>
      <c r="J180" s="5">
        <v>1344</v>
      </c>
      <c r="K180" t="s">
        <v>973</v>
      </c>
      <c r="L180">
        <v>19</v>
      </c>
      <c r="M180" s="7" t="s">
        <v>338</v>
      </c>
      <c r="N180" t="s">
        <v>1612</v>
      </c>
      <c r="W180">
        <v>1</v>
      </c>
      <c r="X180" t="s">
        <v>205</v>
      </c>
      <c r="Y180" t="s">
        <v>205</v>
      </c>
      <c r="Z180" t="s">
        <v>225</v>
      </c>
      <c r="AA180" t="s">
        <v>225</v>
      </c>
      <c r="AB180" t="s">
        <v>225</v>
      </c>
      <c r="AC180" t="s">
        <v>205</v>
      </c>
      <c r="AD180" t="s">
        <v>205</v>
      </c>
      <c r="AE180" t="s">
        <v>225</v>
      </c>
      <c r="AF180" t="s">
        <v>225</v>
      </c>
      <c r="AG180" t="s">
        <v>225</v>
      </c>
      <c r="AH180" t="s">
        <v>225</v>
      </c>
      <c r="AI180" t="s">
        <v>225</v>
      </c>
      <c r="AJ180" t="s">
        <v>225</v>
      </c>
      <c r="AK180">
        <v>1</v>
      </c>
      <c r="AL180" t="s">
        <v>225</v>
      </c>
      <c r="AM180" t="s">
        <v>225</v>
      </c>
      <c r="AN180" t="s">
        <v>225</v>
      </c>
      <c r="AO180" t="s">
        <v>225</v>
      </c>
      <c r="AP180" t="s">
        <v>225</v>
      </c>
      <c r="AQ180" t="s">
        <v>225</v>
      </c>
      <c r="AR180" t="s">
        <v>225</v>
      </c>
      <c r="AS180" t="s">
        <v>225</v>
      </c>
      <c r="AT180" t="s">
        <v>225</v>
      </c>
      <c r="AU180" t="s">
        <v>225</v>
      </c>
      <c r="AV180" t="s">
        <v>225</v>
      </c>
      <c r="AW180" t="s">
        <v>225</v>
      </c>
      <c r="AX180" t="s">
        <v>225</v>
      </c>
      <c r="AY180" t="s">
        <v>225</v>
      </c>
      <c r="AZ180" t="s">
        <v>225</v>
      </c>
      <c r="BA180" t="s">
        <v>225</v>
      </c>
      <c r="BB180" t="s">
        <v>225</v>
      </c>
      <c r="BC180" t="s">
        <v>225</v>
      </c>
      <c r="BD180" t="s">
        <v>225</v>
      </c>
      <c r="BE180" t="s">
        <v>225</v>
      </c>
      <c r="BF180" t="s">
        <v>225</v>
      </c>
      <c r="BG180" t="s">
        <v>225</v>
      </c>
      <c r="BH180" t="s">
        <v>225</v>
      </c>
      <c r="BI180" t="s">
        <v>225</v>
      </c>
      <c r="BJ180" t="s">
        <v>225</v>
      </c>
      <c r="BK180" t="s">
        <v>225</v>
      </c>
      <c r="BL180" t="s">
        <v>205</v>
      </c>
      <c r="BM180" t="s">
        <v>3523</v>
      </c>
      <c r="BN180" t="s">
        <v>3519</v>
      </c>
      <c r="BO180" t="s">
        <v>3515</v>
      </c>
      <c r="BQ180" t="s">
        <v>539</v>
      </c>
      <c r="BR180" s="5">
        <v>0</v>
      </c>
      <c r="BS180" s="5">
        <v>0</v>
      </c>
      <c r="BT180" s="5">
        <v>0</v>
      </c>
      <c r="BU180" s="5">
        <f>(BS180/8+BT180/4)*39</f>
        <v>0</v>
      </c>
      <c r="BV180" s="5">
        <v>0</v>
      </c>
      <c r="BW180" s="5">
        <v>0</v>
      </c>
      <c r="BX180" s="5">
        <v>9</v>
      </c>
      <c r="BY180" s="5">
        <f>1+1/2+5</f>
        <v>6.5</v>
      </c>
      <c r="BZ180" s="5">
        <v>0</v>
      </c>
      <c r="CA180" s="5">
        <v>0</v>
      </c>
      <c r="CB180" s="5">
        <v>0</v>
      </c>
      <c r="CC180" s="5">
        <f>(BV180+BW180/2+BX180/8+BY180/16+BZ180/4+CA180/32)*39</f>
        <v>59.71875</v>
      </c>
      <c r="CD180" s="5">
        <v>0</v>
      </c>
      <c r="CE180" s="5">
        <v>0</v>
      </c>
      <c r="CF180" s="5">
        <v>5</v>
      </c>
      <c r="CG180" s="5">
        <f>1/2+1+1/2</f>
        <v>2</v>
      </c>
      <c r="CH180" s="5">
        <v>0</v>
      </c>
      <c r="CI180" s="5">
        <v>0</v>
      </c>
      <c r="CJ180" s="5">
        <v>0</v>
      </c>
      <c r="CK180" s="5">
        <v>0</v>
      </c>
      <c r="CL180" s="5">
        <f>(CD180+CE180/2+CF180/8+CG180/16+CH180/4+CJ180/32+CK180/16)*39</f>
        <v>29.25</v>
      </c>
      <c r="CM180" s="5">
        <v>0</v>
      </c>
      <c r="CN180" s="5">
        <v>0</v>
      </c>
      <c r="CO180" s="5">
        <v>0</v>
      </c>
      <c r="CP180" s="5">
        <v>0</v>
      </c>
      <c r="CQ180" s="5">
        <v>0</v>
      </c>
      <c r="CR180" t="s">
        <v>3518</v>
      </c>
      <c r="CS180">
        <v>8</v>
      </c>
      <c r="CT180">
        <v>0</v>
      </c>
      <c r="CU180">
        <v>0</v>
      </c>
      <c r="CV180">
        <v>0</v>
      </c>
      <c r="CW180">
        <f>CS180+CT180/24+CU180/48+CV180/48</f>
        <v>8</v>
      </c>
      <c r="CX180">
        <v>0</v>
      </c>
      <c r="CZ180" t="s">
        <v>210</v>
      </c>
      <c r="DC180" t="s">
        <v>2178</v>
      </c>
      <c r="DD180" t="s">
        <v>693</v>
      </c>
      <c r="DE180" t="s">
        <v>3520</v>
      </c>
      <c r="DF180" t="s">
        <v>3521</v>
      </c>
      <c r="DG180" t="s">
        <v>3522</v>
      </c>
    </row>
    <row r="181" spans="1:114" x14ac:dyDescent="0.25">
      <c r="A181">
        <v>1183</v>
      </c>
      <c r="C181" t="s">
        <v>465</v>
      </c>
      <c r="D181" t="s">
        <v>1596</v>
      </c>
      <c r="E181" t="s">
        <v>1582</v>
      </c>
      <c r="H181" t="s">
        <v>1597</v>
      </c>
      <c r="I181" t="s">
        <v>219</v>
      </c>
      <c r="J181">
        <v>1344</v>
      </c>
      <c r="K181" t="s">
        <v>817</v>
      </c>
      <c r="L181">
        <v>4</v>
      </c>
      <c r="M181" s="7" t="s">
        <v>338</v>
      </c>
      <c r="W181" s="5" t="s">
        <v>225</v>
      </c>
      <c r="X181" s="5" t="s">
        <v>225</v>
      </c>
      <c r="Y181" s="5" t="s">
        <v>225</v>
      </c>
      <c r="Z181" s="5" t="s">
        <v>225</v>
      </c>
      <c r="AA181" s="5" t="s">
        <v>225</v>
      </c>
      <c r="AB181" s="5" t="s">
        <v>225</v>
      </c>
      <c r="AC181" s="5" t="s">
        <v>225</v>
      </c>
      <c r="AD181" s="5" t="s">
        <v>225</v>
      </c>
      <c r="AE181" s="5" t="s">
        <v>225</v>
      </c>
      <c r="AF181" s="5" t="s">
        <v>225</v>
      </c>
      <c r="AG181" s="5" t="s">
        <v>225</v>
      </c>
      <c r="AH181" s="5" t="s">
        <v>225</v>
      </c>
      <c r="AI181" s="5" t="s">
        <v>225</v>
      </c>
      <c r="AJ181" s="5" t="s">
        <v>225</v>
      </c>
      <c r="AK181" s="5" t="s">
        <v>225</v>
      </c>
      <c r="AL181" s="5" t="s">
        <v>225</v>
      </c>
      <c r="AM181" s="5" t="s">
        <v>225</v>
      </c>
      <c r="AN181" s="5" t="s">
        <v>225</v>
      </c>
      <c r="AO181" s="5" t="s">
        <v>225</v>
      </c>
      <c r="AP181" s="5" t="s">
        <v>225</v>
      </c>
      <c r="AQ181" s="5" t="s">
        <v>225</v>
      </c>
      <c r="AR181" s="5" t="s">
        <v>225</v>
      </c>
      <c r="AS181" s="5" t="s">
        <v>225</v>
      </c>
      <c r="AT181" s="5" t="s">
        <v>225</v>
      </c>
      <c r="AU181" s="5" t="s">
        <v>225</v>
      </c>
      <c r="AV181" s="5" t="s">
        <v>225</v>
      </c>
      <c r="AW181">
        <v>1</v>
      </c>
      <c r="AX181" t="s">
        <v>225</v>
      </c>
      <c r="AY181" t="s">
        <v>225</v>
      </c>
      <c r="AZ181" t="s">
        <v>225</v>
      </c>
      <c r="BA181" t="s">
        <v>225</v>
      </c>
      <c r="BB181" t="s">
        <v>225</v>
      </c>
      <c r="BC181" t="s">
        <v>225</v>
      </c>
      <c r="BD181" t="s">
        <v>225</v>
      </c>
      <c r="BE181" t="s">
        <v>225</v>
      </c>
      <c r="BF181" t="s">
        <v>225</v>
      </c>
      <c r="BG181" t="s">
        <v>225</v>
      </c>
      <c r="BH181" t="s">
        <v>225</v>
      </c>
      <c r="BI181" t="s">
        <v>225</v>
      </c>
      <c r="BJ181" t="s">
        <v>225</v>
      </c>
      <c r="BK181" t="s">
        <v>225</v>
      </c>
      <c r="BL181" s="5" t="s">
        <v>225</v>
      </c>
      <c r="BM181" t="s">
        <v>1595</v>
      </c>
      <c r="BP181" t="s">
        <v>762</v>
      </c>
      <c r="BQ181" t="s">
        <v>1455</v>
      </c>
      <c r="BR181" s="5">
        <v>1</v>
      </c>
      <c r="BS181" s="5">
        <v>0</v>
      </c>
      <c r="BT181" s="5">
        <v>0</v>
      </c>
      <c r="BU181" s="5">
        <f>(BS181/8+BT181/4)*39</f>
        <v>0</v>
      </c>
      <c r="BV181" s="5">
        <v>0</v>
      </c>
      <c r="BW181" s="5">
        <v>1</v>
      </c>
      <c r="BX181" s="5">
        <v>0</v>
      </c>
      <c r="BY181" s="5">
        <v>0</v>
      </c>
      <c r="BZ181" s="5">
        <v>0</v>
      </c>
      <c r="CA181" s="5">
        <v>0</v>
      </c>
      <c r="CB181" s="5">
        <v>0</v>
      </c>
      <c r="CC181" s="5">
        <f>(BV181+BW181/2+BX181/8+BY181/16+BZ181/4+CA181/32)*39</f>
        <v>19.5</v>
      </c>
      <c r="CD181" s="5">
        <v>0</v>
      </c>
      <c r="CE181" s="5">
        <v>0</v>
      </c>
      <c r="CF181" s="5">
        <v>12</v>
      </c>
      <c r="CG181" s="5">
        <v>0</v>
      </c>
      <c r="CH181" s="5">
        <v>0</v>
      </c>
      <c r="CI181" s="5">
        <v>0</v>
      </c>
      <c r="CJ181" s="5">
        <v>0</v>
      </c>
      <c r="CK181" s="5">
        <v>0</v>
      </c>
      <c r="CL181" s="5">
        <f>(CD181+CE181/2+CF181/8+CG181/16+CH181/4+CJ181/32+CK181/16)*39</f>
        <v>58.5</v>
      </c>
      <c r="CM181" s="5">
        <v>0</v>
      </c>
      <c r="CN181" s="5">
        <v>0</v>
      </c>
      <c r="CO181" s="5">
        <v>0</v>
      </c>
      <c r="CP181" s="5">
        <v>0</v>
      </c>
      <c r="CQ181" s="5">
        <v>0</v>
      </c>
      <c r="CR181" t="s">
        <v>1599</v>
      </c>
      <c r="CS181">
        <f>5/12</f>
        <v>0.41666666666666669</v>
      </c>
      <c r="CT181">
        <v>0</v>
      </c>
      <c r="CU181">
        <v>0</v>
      </c>
      <c r="CV181">
        <v>0</v>
      </c>
      <c r="CW181">
        <f>CS181+CT181/24+CU181/48+CV181/48</f>
        <v>0.41666666666666669</v>
      </c>
      <c r="CX181">
        <v>0</v>
      </c>
    </row>
    <row r="182" spans="1:114" x14ac:dyDescent="0.25">
      <c r="A182">
        <v>1522</v>
      </c>
      <c r="C182" t="s">
        <v>11</v>
      </c>
      <c r="D182" t="s">
        <v>25</v>
      </c>
      <c r="E182" t="s">
        <v>2582</v>
      </c>
      <c r="I182" t="s">
        <v>219</v>
      </c>
      <c r="J182" s="16">
        <v>1342</v>
      </c>
      <c r="K182" t="s">
        <v>1097</v>
      </c>
      <c r="L182">
        <v>8</v>
      </c>
      <c r="M182" s="7" t="s">
        <v>338</v>
      </c>
      <c r="V182" t="s">
        <v>1463</v>
      </c>
      <c r="W182" t="s">
        <v>225</v>
      </c>
      <c r="X182" t="s">
        <v>225</v>
      </c>
      <c r="Y182" t="s">
        <v>225</v>
      </c>
      <c r="Z182" t="s">
        <v>225</v>
      </c>
      <c r="AA182" t="s">
        <v>225</v>
      </c>
      <c r="AB182" t="s">
        <v>225</v>
      </c>
      <c r="AC182" t="s">
        <v>225</v>
      </c>
      <c r="AD182" t="s">
        <v>205</v>
      </c>
      <c r="AE182" t="s">
        <v>225</v>
      </c>
      <c r="AF182" t="s">
        <v>225</v>
      </c>
      <c r="AG182" t="s">
        <v>225</v>
      </c>
      <c r="AH182" t="s">
        <v>225</v>
      </c>
      <c r="AI182" t="s">
        <v>225</v>
      </c>
      <c r="AJ182" t="s">
        <v>225</v>
      </c>
      <c r="AK182" t="s">
        <v>225</v>
      </c>
      <c r="AL182" t="s">
        <v>225</v>
      </c>
      <c r="AM182" t="s">
        <v>225</v>
      </c>
      <c r="AN182" t="s">
        <v>225</v>
      </c>
      <c r="AO182" t="s">
        <v>225</v>
      </c>
      <c r="AP182" t="s">
        <v>225</v>
      </c>
      <c r="AQ182" t="s">
        <v>225</v>
      </c>
      <c r="AR182" t="s">
        <v>225</v>
      </c>
      <c r="AS182" t="s">
        <v>225</v>
      </c>
      <c r="AT182" t="s">
        <v>225</v>
      </c>
      <c r="AU182" t="s">
        <v>225</v>
      </c>
      <c r="AV182" t="s">
        <v>225</v>
      </c>
      <c r="AW182" t="s">
        <v>225</v>
      </c>
      <c r="AX182" t="s">
        <v>225</v>
      </c>
      <c r="AY182" t="s">
        <v>225</v>
      </c>
      <c r="AZ182" t="s">
        <v>225</v>
      </c>
      <c r="BA182" t="s">
        <v>225</v>
      </c>
      <c r="BB182" t="s">
        <v>225</v>
      </c>
      <c r="BC182" t="s">
        <v>225</v>
      </c>
      <c r="BD182" t="s">
        <v>225</v>
      </c>
      <c r="BE182" t="s">
        <v>225</v>
      </c>
      <c r="BF182" t="s">
        <v>225</v>
      </c>
      <c r="BG182" t="s">
        <v>225</v>
      </c>
      <c r="BH182" t="s">
        <v>225</v>
      </c>
      <c r="BI182" t="s">
        <v>225</v>
      </c>
      <c r="BJ182" t="s">
        <v>225</v>
      </c>
      <c r="BK182" t="s">
        <v>225</v>
      </c>
      <c r="BL182" t="s">
        <v>225</v>
      </c>
      <c r="BN182" t="s">
        <v>1683</v>
      </c>
      <c r="BR182" s="5">
        <v>0</v>
      </c>
      <c r="BS182" s="5">
        <v>0</v>
      </c>
      <c r="BT182" s="5">
        <v>0</v>
      </c>
      <c r="BU182" s="5">
        <f>(BS182/8+BT182/4)*39</f>
        <v>0</v>
      </c>
      <c r="BV182" s="5">
        <v>0</v>
      </c>
      <c r="BW182" s="5">
        <v>0</v>
      </c>
      <c r="BX182" s="5">
        <v>0</v>
      </c>
      <c r="BY182" s="5">
        <v>0</v>
      </c>
      <c r="BZ182" s="5">
        <v>0</v>
      </c>
      <c r="CA182" s="5">
        <v>0</v>
      </c>
      <c r="CB182" s="5">
        <v>0</v>
      </c>
      <c r="CC182" s="5">
        <f>(BV182+BW182/2+BX182/8+BY182/16+BZ182/4+CA182/32)*39</f>
        <v>0</v>
      </c>
      <c r="CD182" s="5">
        <v>0</v>
      </c>
      <c r="CE182" s="5">
        <v>0</v>
      </c>
      <c r="CF182" s="5">
        <v>0</v>
      </c>
      <c r="CG182" s="5">
        <v>0</v>
      </c>
      <c r="CH182" s="5">
        <v>0</v>
      </c>
      <c r="CI182" s="5">
        <v>0</v>
      </c>
      <c r="CJ182" s="5">
        <v>0</v>
      </c>
      <c r="CK182" s="5">
        <v>0</v>
      </c>
      <c r="CL182" s="5">
        <f>(CD182+CE182/2+CF182/8+CG182/16+CH182/4+CJ182/32+CK182/16)*39</f>
        <v>0</v>
      </c>
      <c r="CM182" s="5">
        <v>0</v>
      </c>
      <c r="CN182" s="5">
        <v>0</v>
      </c>
      <c r="CO182" s="5">
        <v>0</v>
      </c>
      <c r="CP182" s="5">
        <v>0</v>
      </c>
      <c r="CQ182" s="5">
        <v>0</v>
      </c>
      <c r="CR182" t="s">
        <v>1683</v>
      </c>
      <c r="CS182">
        <f>4/12</f>
        <v>0.33333333333333331</v>
      </c>
      <c r="CT182">
        <v>0</v>
      </c>
      <c r="CU182">
        <v>0</v>
      </c>
      <c r="CV182">
        <v>0</v>
      </c>
      <c r="CW182">
        <f>CS182+CT182/24+CU182/48+CV182/48</f>
        <v>0.33333333333333331</v>
      </c>
      <c r="CX182">
        <v>0</v>
      </c>
      <c r="CZ182" t="s">
        <v>210</v>
      </c>
      <c r="DC182" s="6" t="s">
        <v>2588</v>
      </c>
      <c r="DD182" t="s">
        <v>693</v>
      </c>
      <c r="DE182" t="s">
        <v>3811</v>
      </c>
      <c r="DF182" t="s">
        <v>2589</v>
      </c>
      <c r="DG182" t="s">
        <v>2590</v>
      </c>
      <c r="DH182" t="s">
        <v>2591</v>
      </c>
    </row>
    <row r="183" spans="1:114" x14ac:dyDescent="0.25">
      <c r="A183">
        <v>1312</v>
      </c>
      <c r="C183" t="s">
        <v>13</v>
      </c>
      <c r="D183" t="s">
        <v>53</v>
      </c>
      <c r="E183" t="s">
        <v>1762</v>
      </c>
      <c r="G183" t="s">
        <v>1763</v>
      </c>
      <c r="I183" t="s">
        <v>219</v>
      </c>
      <c r="J183">
        <v>1343</v>
      </c>
      <c r="K183" t="s">
        <v>1097</v>
      </c>
      <c r="L183">
        <v>11</v>
      </c>
      <c r="M183" s="7" t="s">
        <v>338</v>
      </c>
      <c r="N183" t="s">
        <v>1052</v>
      </c>
      <c r="W183" t="s">
        <v>225</v>
      </c>
      <c r="X183" t="s">
        <v>225</v>
      </c>
      <c r="Y183">
        <v>1</v>
      </c>
      <c r="Z183" t="s">
        <v>225</v>
      </c>
      <c r="AA183" t="s">
        <v>225</v>
      </c>
      <c r="AB183" t="s">
        <v>225</v>
      </c>
      <c r="AC183" t="s">
        <v>225</v>
      </c>
      <c r="AD183" t="s">
        <v>225</v>
      </c>
      <c r="AE183" t="s">
        <v>225</v>
      </c>
      <c r="AF183" t="s">
        <v>225</v>
      </c>
      <c r="AG183" t="s">
        <v>225</v>
      </c>
      <c r="AH183" t="s">
        <v>225</v>
      </c>
      <c r="AI183" t="s">
        <v>225</v>
      </c>
      <c r="AJ183" t="s">
        <v>225</v>
      </c>
      <c r="AK183" t="s">
        <v>225</v>
      </c>
      <c r="AL183" t="s">
        <v>225</v>
      </c>
      <c r="AM183" t="s">
        <v>225</v>
      </c>
      <c r="AN183" t="s">
        <v>225</v>
      </c>
      <c r="AO183" t="s">
        <v>225</v>
      </c>
      <c r="AP183" t="s">
        <v>225</v>
      </c>
      <c r="AQ183" t="s">
        <v>225</v>
      </c>
      <c r="AR183" t="s">
        <v>225</v>
      </c>
      <c r="AS183" t="s">
        <v>225</v>
      </c>
      <c r="AT183" t="s">
        <v>225</v>
      </c>
      <c r="AU183" t="s">
        <v>225</v>
      </c>
      <c r="AV183" t="s">
        <v>225</v>
      </c>
      <c r="AW183" t="s">
        <v>225</v>
      </c>
      <c r="AX183" t="s">
        <v>225</v>
      </c>
      <c r="AY183" t="s">
        <v>225</v>
      </c>
      <c r="AZ183" t="s">
        <v>225</v>
      </c>
      <c r="BA183" t="s">
        <v>225</v>
      </c>
      <c r="BB183" t="s">
        <v>225</v>
      </c>
      <c r="BC183" t="s">
        <v>225</v>
      </c>
      <c r="BD183" t="s">
        <v>225</v>
      </c>
      <c r="BE183" t="s">
        <v>225</v>
      </c>
      <c r="BF183" t="s">
        <v>225</v>
      </c>
      <c r="BG183" t="s">
        <v>225</v>
      </c>
      <c r="BH183" t="s">
        <v>225</v>
      </c>
      <c r="BI183" t="s">
        <v>225</v>
      </c>
      <c r="BJ183" t="s">
        <v>225</v>
      </c>
      <c r="BK183" t="s">
        <v>225</v>
      </c>
      <c r="BL183" t="s">
        <v>225</v>
      </c>
      <c r="BN183" s="5" t="s">
        <v>398</v>
      </c>
      <c r="BR183" s="5">
        <v>0</v>
      </c>
      <c r="BS183" s="5">
        <v>0</v>
      </c>
      <c r="BT183" s="5">
        <v>0</v>
      </c>
      <c r="BU183" s="5">
        <f>(BS183/8+BT183/4)*39</f>
        <v>0</v>
      </c>
      <c r="BV183" s="5">
        <v>0</v>
      </c>
      <c r="BW183" s="5">
        <v>0</v>
      </c>
      <c r="BX183" s="5">
        <v>0</v>
      </c>
      <c r="BY183" s="5">
        <v>0</v>
      </c>
      <c r="BZ183" s="5">
        <v>0</v>
      </c>
      <c r="CA183" s="5">
        <v>0</v>
      </c>
      <c r="CB183" s="5">
        <v>0</v>
      </c>
      <c r="CC183" s="5">
        <f>(BV183+BW183/2+BX183/8+BY183/16+BZ183/4+CA183/32)*39</f>
        <v>0</v>
      </c>
      <c r="CD183" s="5">
        <v>0</v>
      </c>
      <c r="CE183" s="5">
        <v>0</v>
      </c>
      <c r="CF183" s="5">
        <v>0</v>
      </c>
      <c r="CG183" s="5">
        <v>0</v>
      </c>
      <c r="CH183" s="5">
        <v>0</v>
      </c>
      <c r="CI183" s="5">
        <v>0</v>
      </c>
      <c r="CJ183" s="5">
        <v>0</v>
      </c>
      <c r="CK183" s="5">
        <v>0</v>
      </c>
      <c r="CL183" s="5">
        <f>(CD183+CE183/2+CF183/8+CG183/16+CH183/4+CJ183/32+CK183/16)*39</f>
        <v>0</v>
      </c>
      <c r="CM183" s="5">
        <v>0</v>
      </c>
      <c r="CN183" s="5">
        <v>0</v>
      </c>
      <c r="CO183" s="5">
        <v>0</v>
      </c>
      <c r="CP183" s="5">
        <v>0</v>
      </c>
      <c r="CQ183" s="5">
        <v>0</v>
      </c>
      <c r="CS183">
        <f>2/12</f>
        <v>0.16666666666666666</v>
      </c>
      <c r="CT183">
        <v>0</v>
      </c>
      <c r="CU183">
        <v>0</v>
      </c>
      <c r="CV183">
        <v>0</v>
      </c>
      <c r="CW183">
        <f>CS183+CT183/24+CU183/48+CV183/48</f>
        <v>0.16666666666666666</v>
      </c>
      <c r="CX183">
        <v>0</v>
      </c>
      <c r="CZ183" t="s">
        <v>210</v>
      </c>
      <c r="DC183" t="s">
        <v>1767</v>
      </c>
      <c r="DD183" t="s">
        <v>693</v>
      </c>
      <c r="DE183" t="s">
        <v>1712</v>
      </c>
      <c r="DF183" t="s">
        <v>1713</v>
      </c>
    </row>
    <row r="184" spans="1:114" x14ac:dyDescent="0.25">
      <c r="A184">
        <v>1301</v>
      </c>
      <c r="B184" t="s">
        <v>1708</v>
      </c>
      <c r="C184" t="s">
        <v>1706</v>
      </c>
      <c r="D184" t="s">
        <v>1705</v>
      </c>
      <c r="E184" t="s">
        <v>1755</v>
      </c>
      <c r="I184" t="s">
        <v>3219</v>
      </c>
      <c r="J184">
        <v>1343</v>
      </c>
      <c r="K184" t="s">
        <v>1097</v>
      </c>
      <c r="L184">
        <v>10</v>
      </c>
      <c r="M184" s="7" t="s">
        <v>338</v>
      </c>
      <c r="N184" t="s">
        <v>986</v>
      </c>
      <c r="V184" t="s">
        <v>1463</v>
      </c>
      <c r="W184">
        <v>1</v>
      </c>
      <c r="X184">
        <v>1</v>
      </c>
      <c r="Y184" t="s">
        <v>225</v>
      </c>
      <c r="Z184" t="s">
        <v>225</v>
      </c>
      <c r="AA184" t="s">
        <v>225</v>
      </c>
      <c r="AB184" t="s">
        <v>225</v>
      </c>
      <c r="AC184" t="s">
        <v>225</v>
      </c>
      <c r="AD184" t="s">
        <v>225</v>
      </c>
      <c r="AE184" t="s">
        <v>225</v>
      </c>
      <c r="AF184" t="s">
        <v>225</v>
      </c>
      <c r="AG184" t="s">
        <v>225</v>
      </c>
      <c r="AH184" t="s">
        <v>225</v>
      </c>
      <c r="AI184" t="s">
        <v>225</v>
      </c>
      <c r="AJ184" t="s">
        <v>225</v>
      </c>
      <c r="AK184" t="s">
        <v>225</v>
      </c>
      <c r="AL184" t="s">
        <v>225</v>
      </c>
      <c r="AM184" t="s">
        <v>225</v>
      </c>
      <c r="AN184" t="s">
        <v>225</v>
      </c>
      <c r="AO184" t="s">
        <v>225</v>
      </c>
      <c r="AP184" t="s">
        <v>225</v>
      </c>
      <c r="AQ184" t="s">
        <v>225</v>
      </c>
      <c r="AR184" t="s">
        <v>225</v>
      </c>
      <c r="AS184" t="s">
        <v>225</v>
      </c>
      <c r="AT184" t="s">
        <v>225</v>
      </c>
      <c r="AU184" t="s">
        <v>225</v>
      </c>
      <c r="AV184" t="s">
        <v>225</v>
      </c>
      <c r="AW184" t="s">
        <v>225</v>
      </c>
      <c r="AX184" t="s">
        <v>225</v>
      </c>
      <c r="AY184" t="s">
        <v>225</v>
      </c>
      <c r="AZ184" t="s">
        <v>225</v>
      </c>
      <c r="BA184" t="s">
        <v>225</v>
      </c>
      <c r="BB184" t="s">
        <v>225</v>
      </c>
      <c r="BC184" t="s">
        <v>225</v>
      </c>
      <c r="BD184" t="s">
        <v>225</v>
      </c>
      <c r="BE184" t="s">
        <v>225</v>
      </c>
      <c r="BF184" t="s">
        <v>225</v>
      </c>
      <c r="BG184" t="s">
        <v>225</v>
      </c>
      <c r="BH184" t="s">
        <v>225</v>
      </c>
      <c r="BI184" t="s">
        <v>225</v>
      </c>
      <c r="BJ184" t="s">
        <v>225</v>
      </c>
      <c r="BK184" t="s">
        <v>225</v>
      </c>
      <c r="BL184" t="s">
        <v>225</v>
      </c>
      <c r="BN184" s="5" t="s">
        <v>1711</v>
      </c>
      <c r="BR184" s="5">
        <v>0</v>
      </c>
      <c r="BS184" s="5">
        <v>0</v>
      </c>
      <c r="BT184" s="5">
        <v>0</v>
      </c>
      <c r="BU184" s="5">
        <f>(BS184/8+BT184/4)*39</f>
        <v>0</v>
      </c>
      <c r="BV184" s="5">
        <v>0</v>
      </c>
      <c r="BW184" s="5">
        <v>0</v>
      </c>
      <c r="BX184" s="5">
        <v>0</v>
      </c>
      <c r="BY184" s="5">
        <v>0</v>
      </c>
      <c r="BZ184" s="5">
        <v>0</v>
      </c>
      <c r="CA184" s="5">
        <v>0</v>
      </c>
      <c r="CB184" s="5">
        <v>0</v>
      </c>
      <c r="CC184" s="5">
        <f>(BV184+BW184/2+BX184/8+BY184/16+BZ184/4+CA184/32)*39</f>
        <v>0</v>
      </c>
      <c r="CD184" s="5">
        <v>0</v>
      </c>
      <c r="CE184" s="5">
        <v>0</v>
      </c>
      <c r="CF184" s="5">
        <v>0</v>
      </c>
      <c r="CG184" s="5">
        <v>0</v>
      </c>
      <c r="CH184" s="5">
        <v>0</v>
      </c>
      <c r="CI184" s="5">
        <v>0</v>
      </c>
      <c r="CJ184" s="5">
        <v>0</v>
      </c>
      <c r="CK184" s="5">
        <v>0</v>
      </c>
      <c r="CL184" s="5">
        <f>(CD184+CE184/2+CF184/8+CG184/16+CH184/4+CJ184/32+CK184/16)*39</f>
        <v>0</v>
      </c>
      <c r="CM184" s="5">
        <v>0</v>
      </c>
      <c r="CN184" s="5">
        <v>0</v>
      </c>
      <c r="CO184" s="5">
        <v>0</v>
      </c>
      <c r="CP184" s="5">
        <v>0</v>
      </c>
      <c r="CQ184" s="5">
        <v>0</v>
      </c>
      <c r="CS184">
        <v>0</v>
      </c>
      <c r="CT184">
        <v>3</v>
      </c>
      <c r="CU184">
        <v>0</v>
      </c>
      <c r="CV184">
        <v>0</v>
      </c>
      <c r="CW184">
        <f>CS184+CT184/24+CU184/48+CV184/48</f>
        <v>0.125</v>
      </c>
      <c r="CX184">
        <v>0</v>
      </c>
      <c r="CZ184" t="s">
        <v>210</v>
      </c>
      <c r="DC184" t="s">
        <v>1645</v>
      </c>
      <c r="DD184" t="s">
        <v>693</v>
      </c>
      <c r="DE184" t="s">
        <v>263</v>
      </c>
      <c r="DF184" t="s">
        <v>1712</v>
      </c>
      <c r="DG184" t="s">
        <v>1713</v>
      </c>
    </row>
    <row r="185" spans="1:114" x14ac:dyDescent="0.25">
      <c r="A185">
        <v>1591</v>
      </c>
      <c r="C185" t="s">
        <v>2623</v>
      </c>
      <c r="D185" t="s">
        <v>14</v>
      </c>
      <c r="E185" t="s">
        <v>2782</v>
      </c>
      <c r="H185" t="s">
        <v>2780</v>
      </c>
      <c r="I185" t="s">
        <v>219</v>
      </c>
      <c r="J185" s="5">
        <v>1343</v>
      </c>
      <c r="K185" t="s">
        <v>817</v>
      </c>
      <c r="L185">
        <v>20</v>
      </c>
      <c r="M185" s="7" t="s">
        <v>338</v>
      </c>
      <c r="N185" t="s">
        <v>236</v>
      </c>
      <c r="P185" t="s">
        <v>225</v>
      </c>
      <c r="Q185" t="s">
        <v>205</v>
      </c>
      <c r="R185" t="s">
        <v>205</v>
      </c>
      <c r="S185" t="s">
        <v>205</v>
      </c>
      <c r="T185" t="s">
        <v>225</v>
      </c>
      <c r="U185" t="s">
        <v>277</v>
      </c>
      <c r="V185" t="s">
        <v>1463</v>
      </c>
      <c r="W185">
        <v>1</v>
      </c>
      <c r="X185">
        <v>1</v>
      </c>
      <c r="Y185">
        <v>2</v>
      </c>
      <c r="Z185" t="s">
        <v>225</v>
      </c>
      <c r="AA185">
        <v>2</v>
      </c>
      <c r="AB185" t="s">
        <v>225</v>
      </c>
      <c r="AC185" t="s">
        <v>225</v>
      </c>
      <c r="AD185" t="s">
        <v>225</v>
      </c>
      <c r="AE185" t="s">
        <v>225</v>
      </c>
      <c r="AF185" t="s">
        <v>225</v>
      </c>
      <c r="AG185" t="s">
        <v>225</v>
      </c>
      <c r="AH185" t="s">
        <v>225</v>
      </c>
      <c r="AI185" t="s">
        <v>225</v>
      </c>
      <c r="AJ185" t="s">
        <v>225</v>
      </c>
      <c r="AK185" t="s">
        <v>225</v>
      </c>
      <c r="AL185">
        <v>1</v>
      </c>
      <c r="AM185" t="s">
        <v>225</v>
      </c>
      <c r="AN185" t="s">
        <v>225</v>
      </c>
      <c r="AO185" t="s">
        <v>225</v>
      </c>
      <c r="AP185" t="s">
        <v>225</v>
      </c>
      <c r="AQ185" t="s">
        <v>225</v>
      </c>
      <c r="AR185" t="s">
        <v>225</v>
      </c>
      <c r="AS185" t="s">
        <v>225</v>
      </c>
      <c r="AT185" t="s">
        <v>225</v>
      </c>
      <c r="AU185" t="s">
        <v>225</v>
      </c>
      <c r="AV185" t="s">
        <v>225</v>
      </c>
      <c r="AW185" t="s">
        <v>225</v>
      </c>
      <c r="AX185" t="s">
        <v>225</v>
      </c>
      <c r="AY185" t="s">
        <v>225</v>
      </c>
      <c r="AZ185" t="s">
        <v>225</v>
      </c>
      <c r="BA185" t="s">
        <v>225</v>
      </c>
      <c r="BB185" t="s">
        <v>225</v>
      </c>
      <c r="BC185" t="s">
        <v>225</v>
      </c>
      <c r="BD185" t="s">
        <v>225</v>
      </c>
      <c r="BE185" t="s">
        <v>225</v>
      </c>
      <c r="BF185" t="s">
        <v>225</v>
      </c>
      <c r="BG185" t="s">
        <v>225</v>
      </c>
      <c r="BH185" t="s">
        <v>225</v>
      </c>
      <c r="BI185" t="s">
        <v>225</v>
      </c>
      <c r="BJ185" t="s">
        <v>225</v>
      </c>
      <c r="BK185" t="s">
        <v>225</v>
      </c>
      <c r="BL185" t="s">
        <v>225</v>
      </c>
      <c r="BN185" t="s">
        <v>2798</v>
      </c>
      <c r="BP185" t="s">
        <v>467</v>
      </c>
      <c r="BQ185" t="s">
        <v>539</v>
      </c>
      <c r="BR185" s="5">
        <v>1</v>
      </c>
      <c r="BS185" s="5">
        <v>0</v>
      </c>
      <c r="BT185" s="5">
        <v>0</v>
      </c>
      <c r="BU185" s="5">
        <f>(BS185/8+BT185/4)*39</f>
        <v>0</v>
      </c>
      <c r="BV185" s="5">
        <v>0</v>
      </c>
      <c r="BW185" s="5">
        <v>0</v>
      </c>
      <c r="BX185" s="5">
        <v>3</v>
      </c>
      <c r="BY185" s="5">
        <v>0</v>
      </c>
      <c r="BZ185" s="5">
        <v>0</v>
      </c>
      <c r="CA185" s="5">
        <v>0</v>
      </c>
      <c r="CB185" s="5">
        <v>0</v>
      </c>
      <c r="CC185" s="5">
        <f>(BV185+BW185/2+BX185/8+BY185/16+BZ185/4+CA185/32)*39</f>
        <v>14.625</v>
      </c>
      <c r="CD185" s="5">
        <v>0</v>
      </c>
      <c r="CE185" s="5">
        <v>0</v>
      </c>
      <c r="CF185" s="5">
        <v>3</v>
      </c>
      <c r="CG185" s="5">
        <v>0</v>
      </c>
      <c r="CH185" s="5">
        <v>0</v>
      </c>
      <c r="CI185" s="5">
        <v>0</v>
      </c>
      <c r="CJ185" s="5">
        <v>0</v>
      </c>
      <c r="CK185" s="5">
        <v>0</v>
      </c>
      <c r="CL185" s="5">
        <f>(CD185+CE185/2+CF185/8+CG185/16+CH185/4+CJ185/32+CK185/16)*39</f>
        <v>14.625</v>
      </c>
      <c r="CM185" s="5">
        <v>0</v>
      </c>
      <c r="CN185" s="5">
        <v>0</v>
      </c>
      <c r="CO185" s="5">
        <v>0</v>
      </c>
      <c r="CP185" s="5">
        <v>0</v>
      </c>
      <c r="CQ185" s="5">
        <v>0</v>
      </c>
      <c r="CS185">
        <v>30</v>
      </c>
      <c r="CT185">
        <v>0</v>
      </c>
      <c r="CU185">
        <v>0</v>
      </c>
      <c r="CV185">
        <v>0</v>
      </c>
      <c r="CW185">
        <f>CS185+CT185/24+CU185/48+CV185/48</f>
        <v>30</v>
      </c>
      <c r="CX185">
        <v>0</v>
      </c>
      <c r="CY185" t="s">
        <v>2797</v>
      </c>
      <c r="CZ185" t="s">
        <v>210</v>
      </c>
      <c r="DA185" t="s">
        <v>1733</v>
      </c>
      <c r="DB185" t="s">
        <v>2801</v>
      </c>
      <c r="DC185" t="s">
        <v>262</v>
      </c>
      <c r="DD185" t="s">
        <v>693</v>
      </c>
      <c r="DE185" t="s">
        <v>2799</v>
      </c>
      <c r="DF185" t="s">
        <v>526</v>
      </c>
      <c r="DG185" t="s">
        <v>2800</v>
      </c>
    </row>
    <row r="186" spans="1:114" x14ac:dyDescent="0.25">
      <c r="A186">
        <v>361</v>
      </c>
      <c r="C186" t="s">
        <v>407</v>
      </c>
      <c r="D186" t="s">
        <v>144</v>
      </c>
      <c r="E186" t="s">
        <v>396</v>
      </c>
      <c r="I186" t="s">
        <v>219</v>
      </c>
      <c r="J186">
        <v>1343</v>
      </c>
      <c r="K186" t="s">
        <v>249</v>
      </c>
      <c r="L186">
        <v>8</v>
      </c>
      <c r="M186" s="4" t="s">
        <v>338</v>
      </c>
      <c r="P186" t="s">
        <v>225</v>
      </c>
      <c r="Q186" t="s">
        <v>225</v>
      </c>
      <c r="R186" t="s">
        <v>225</v>
      </c>
      <c r="S186" t="s">
        <v>225</v>
      </c>
      <c r="T186" t="s">
        <v>225</v>
      </c>
      <c r="V186" t="s">
        <v>204</v>
      </c>
      <c r="W186" t="s">
        <v>225</v>
      </c>
      <c r="X186" t="s">
        <v>225</v>
      </c>
      <c r="Y186">
        <v>1</v>
      </c>
      <c r="Z186" t="s">
        <v>225</v>
      </c>
      <c r="AA186" t="s">
        <v>225</v>
      </c>
      <c r="AB186" t="s">
        <v>225</v>
      </c>
      <c r="AC186" t="s">
        <v>225</v>
      </c>
      <c r="AD186" t="s">
        <v>225</v>
      </c>
      <c r="AE186" t="s">
        <v>225</v>
      </c>
      <c r="AF186" t="s">
        <v>225</v>
      </c>
      <c r="AG186" t="s">
        <v>225</v>
      </c>
      <c r="AH186" t="s">
        <v>225</v>
      </c>
      <c r="AI186" t="s">
        <v>225</v>
      </c>
      <c r="AJ186" t="s">
        <v>225</v>
      </c>
      <c r="AK186" t="s">
        <v>225</v>
      </c>
      <c r="AL186" t="s">
        <v>225</v>
      </c>
      <c r="AM186" t="s">
        <v>225</v>
      </c>
      <c r="AN186" t="s">
        <v>225</v>
      </c>
      <c r="AO186" t="s">
        <v>225</v>
      </c>
      <c r="AP186" t="s">
        <v>225</v>
      </c>
      <c r="AQ186" t="s">
        <v>225</v>
      </c>
      <c r="AR186" t="s">
        <v>225</v>
      </c>
      <c r="AS186" t="s">
        <v>225</v>
      </c>
      <c r="AT186" t="s">
        <v>225</v>
      </c>
      <c r="AU186" t="s">
        <v>225</v>
      </c>
      <c r="AV186" t="s">
        <v>225</v>
      </c>
      <c r="AW186" t="s">
        <v>225</v>
      </c>
      <c r="AX186" t="s">
        <v>225</v>
      </c>
      <c r="AY186" t="s">
        <v>225</v>
      </c>
      <c r="AZ186" t="s">
        <v>225</v>
      </c>
      <c r="BA186" t="s">
        <v>225</v>
      </c>
      <c r="BB186" t="s">
        <v>225</v>
      </c>
      <c r="BC186" t="s">
        <v>225</v>
      </c>
      <c r="BD186" t="s">
        <v>225</v>
      </c>
      <c r="BE186" t="s">
        <v>225</v>
      </c>
      <c r="BF186" t="s">
        <v>225</v>
      </c>
      <c r="BG186" t="s">
        <v>225</v>
      </c>
      <c r="BH186" t="s">
        <v>225</v>
      </c>
      <c r="BI186" t="s">
        <v>225</v>
      </c>
      <c r="BJ186" t="s">
        <v>225</v>
      </c>
      <c r="BK186" t="s">
        <v>225</v>
      </c>
      <c r="BL186" t="s">
        <v>225</v>
      </c>
      <c r="BN186" t="s">
        <v>487</v>
      </c>
      <c r="BR186">
        <v>0</v>
      </c>
      <c r="BS186">
        <v>0</v>
      </c>
      <c r="BT186">
        <v>0</v>
      </c>
      <c r="BU186" s="5">
        <f>(BS186/8+BT186/4)*39</f>
        <v>0</v>
      </c>
      <c r="BV186">
        <v>0</v>
      </c>
      <c r="BW186" s="5">
        <v>0</v>
      </c>
      <c r="BX186" s="5">
        <v>0</v>
      </c>
      <c r="BY186">
        <v>0</v>
      </c>
      <c r="BZ186">
        <v>0</v>
      </c>
      <c r="CA186">
        <v>0</v>
      </c>
      <c r="CB186">
        <v>0</v>
      </c>
      <c r="CC186" s="5">
        <f>(BV186+BW186/2+BX186/8+BY186/16+BZ186/4+CA186/32)*39</f>
        <v>0</v>
      </c>
      <c r="CD186">
        <v>0</v>
      </c>
      <c r="CE186">
        <v>0</v>
      </c>
      <c r="CF186">
        <v>0</v>
      </c>
      <c r="CG186">
        <v>0</v>
      </c>
      <c r="CH186">
        <v>0</v>
      </c>
      <c r="CI186">
        <v>0</v>
      </c>
      <c r="CJ186">
        <v>0</v>
      </c>
      <c r="CK186">
        <v>0</v>
      </c>
      <c r="CL186" s="5">
        <f>(CD186+CE186/2+CF186/8+CG186/16+CH186/4+CJ186/32+CK186/16)*39</f>
        <v>0</v>
      </c>
      <c r="CM186">
        <v>0</v>
      </c>
      <c r="CN186">
        <v>0</v>
      </c>
      <c r="CO186">
        <v>0</v>
      </c>
      <c r="CP186">
        <v>0</v>
      </c>
      <c r="CQ186">
        <v>0</v>
      </c>
      <c r="CS186">
        <f>5/12</f>
        <v>0.41666666666666669</v>
      </c>
      <c r="CT186" s="11">
        <v>0</v>
      </c>
      <c r="CU186" s="11">
        <v>0</v>
      </c>
      <c r="CV186">
        <v>0</v>
      </c>
      <c r="CW186">
        <f>CS186+CT186/24+CU186/48+CV186/48</f>
        <v>0.41666666666666669</v>
      </c>
      <c r="CX186">
        <v>0</v>
      </c>
      <c r="CZ186" t="s">
        <v>210</v>
      </c>
      <c r="DC186" t="s">
        <v>262</v>
      </c>
      <c r="DD186" t="s">
        <v>693</v>
      </c>
      <c r="DE186" t="s">
        <v>424</v>
      </c>
      <c r="DF186" t="s">
        <v>414</v>
      </c>
      <c r="DG186" t="s">
        <v>415</v>
      </c>
    </row>
    <row r="187" spans="1:114" x14ac:dyDescent="0.25">
      <c r="A187">
        <v>822</v>
      </c>
      <c r="B187" t="s">
        <v>788</v>
      </c>
      <c r="C187" t="s">
        <v>50</v>
      </c>
      <c r="D187" t="s">
        <v>1018</v>
      </c>
      <c r="E187" t="s">
        <v>776</v>
      </c>
      <c r="I187" t="s">
        <v>219</v>
      </c>
      <c r="J187">
        <v>1343</v>
      </c>
      <c r="K187" t="s">
        <v>431</v>
      </c>
      <c r="L187" s="5">
        <v>29</v>
      </c>
      <c r="M187" s="7" t="s">
        <v>338</v>
      </c>
      <c r="N187" t="s">
        <v>1026</v>
      </c>
      <c r="W187" t="s">
        <v>225</v>
      </c>
      <c r="X187" t="s">
        <v>225</v>
      </c>
      <c r="Y187" t="s">
        <v>225</v>
      </c>
      <c r="Z187" t="s">
        <v>225</v>
      </c>
      <c r="AA187" t="s">
        <v>225</v>
      </c>
      <c r="AB187" t="s">
        <v>225</v>
      </c>
      <c r="AC187">
        <v>1</v>
      </c>
      <c r="AD187" t="s">
        <v>225</v>
      </c>
      <c r="AE187" t="s">
        <v>225</v>
      </c>
      <c r="AF187" t="s">
        <v>225</v>
      </c>
      <c r="AG187" t="s">
        <v>225</v>
      </c>
      <c r="AH187" t="s">
        <v>225</v>
      </c>
      <c r="AI187" t="s">
        <v>225</v>
      </c>
      <c r="AJ187" t="s">
        <v>225</v>
      </c>
      <c r="AK187" t="s">
        <v>225</v>
      </c>
      <c r="AL187" t="s">
        <v>225</v>
      </c>
      <c r="AM187" t="s">
        <v>225</v>
      </c>
      <c r="AN187" t="s">
        <v>225</v>
      </c>
      <c r="AO187" t="s">
        <v>225</v>
      </c>
      <c r="AP187">
        <v>1</v>
      </c>
      <c r="AQ187" t="s">
        <v>225</v>
      </c>
      <c r="AR187" t="s">
        <v>225</v>
      </c>
      <c r="AS187" t="s">
        <v>225</v>
      </c>
      <c r="AT187" t="s">
        <v>225</v>
      </c>
      <c r="AU187" t="s">
        <v>225</v>
      </c>
      <c r="AV187" t="s">
        <v>225</v>
      </c>
      <c r="AW187" t="s">
        <v>225</v>
      </c>
      <c r="AX187" t="s">
        <v>225</v>
      </c>
      <c r="AY187" t="s">
        <v>225</v>
      </c>
      <c r="AZ187" t="s">
        <v>225</v>
      </c>
      <c r="BA187" t="s">
        <v>225</v>
      </c>
      <c r="BB187" t="s">
        <v>225</v>
      </c>
      <c r="BC187" t="s">
        <v>225</v>
      </c>
      <c r="BD187" t="s">
        <v>225</v>
      </c>
      <c r="BE187" t="s">
        <v>225</v>
      </c>
      <c r="BF187" t="s">
        <v>225</v>
      </c>
      <c r="BG187" t="s">
        <v>225</v>
      </c>
      <c r="BH187" t="s">
        <v>225</v>
      </c>
      <c r="BI187" t="s">
        <v>225</v>
      </c>
      <c r="BJ187" t="s">
        <v>225</v>
      </c>
      <c r="BK187" t="s">
        <v>225</v>
      </c>
      <c r="BL187" t="s">
        <v>225</v>
      </c>
      <c r="BN187" t="s">
        <v>1024</v>
      </c>
      <c r="BQ187" t="s">
        <v>1455</v>
      </c>
      <c r="BR187" s="5">
        <v>0</v>
      </c>
      <c r="BS187" s="5">
        <v>0</v>
      </c>
      <c r="BT187" s="5">
        <v>0</v>
      </c>
      <c r="BU187" s="5">
        <f>(BS187/8+BT187/4)*39</f>
        <v>0</v>
      </c>
      <c r="BV187" s="5">
        <v>0</v>
      </c>
      <c r="BW187" s="5">
        <v>0</v>
      </c>
      <c r="BX187" s="5">
        <v>0</v>
      </c>
      <c r="BY187" s="5">
        <v>0</v>
      </c>
      <c r="BZ187" s="5">
        <v>0</v>
      </c>
      <c r="CA187" s="5">
        <v>0</v>
      </c>
      <c r="CB187" s="5">
        <v>0</v>
      </c>
      <c r="CC187" s="5">
        <f>(BV187+BW187/2+BX187/8+BY187/16+BZ187/4+CA187/32)*39</f>
        <v>0</v>
      </c>
      <c r="CD187" s="5">
        <v>0</v>
      </c>
      <c r="CE187" s="5">
        <v>0</v>
      </c>
      <c r="CF187" s="5">
        <v>1</v>
      </c>
      <c r="CG187" s="5">
        <v>0</v>
      </c>
      <c r="CH187" s="5">
        <v>0</v>
      </c>
      <c r="CI187" s="5">
        <v>0</v>
      </c>
      <c r="CJ187" s="5">
        <v>0</v>
      </c>
      <c r="CK187" s="5">
        <v>0</v>
      </c>
      <c r="CL187" s="5">
        <f>(CD187+CE187/2+CF187/8+CG187/16+CH187/4+CJ187/32+CK187/16)*39</f>
        <v>4.875</v>
      </c>
      <c r="CM187" s="5">
        <v>0</v>
      </c>
      <c r="CN187" s="5">
        <v>0</v>
      </c>
      <c r="CO187" s="5">
        <v>0</v>
      </c>
      <c r="CP187" s="5">
        <v>0</v>
      </c>
      <c r="CQ187" s="5">
        <v>0</v>
      </c>
      <c r="CS187">
        <v>0</v>
      </c>
      <c r="CT187">
        <v>0</v>
      </c>
      <c r="CU187">
        <v>0</v>
      </c>
      <c r="CV187">
        <v>0</v>
      </c>
      <c r="CW187">
        <f>CS187+CT187/24+CU187/48+CV187/48</f>
        <v>0</v>
      </c>
      <c r="CX187">
        <v>0</v>
      </c>
      <c r="CZ187" t="s">
        <v>210</v>
      </c>
      <c r="DA187" t="s">
        <v>1025</v>
      </c>
      <c r="DB187" t="s">
        <v>405</v>
      </c>
      <c r="DC187" t="s">
        <v>1014</v>
      </c>
      <c r="DD187" t="s">
        <v>693</v>
      </c>
      <c r="DE187" t="s">
        <v>1015</v>
      </c>
      <c r="DF187" t="s">
        <v>1016</v>
      </c>
      <c r="DG187" t="s">
        <v>1017</v>
      </c>
      <c r="DJ187" t="s">
        <v>483</v>
      </c>
    </row>
    <row r="188" spans="1:114" x14ac:dyDescent="0.25">
      <c r="A188">
        <v>691</v>
      </c>
      <c r="C188" t="s">
        <v>74</v>
      </c>
      <c r="D188" t="s">
        <v>73</v>
      </c>
      <c r="E188" t="s">
        <v>68</v>
      </c>
      <c r="G188" t="s">
        <v>771</v>
      </c>
      <c r="H188" t="s">
        <v>761</v>
      </c>
      <c r="I188" t="s">
        <v>220</v>
      </c>
      <c r="J188">
        <v>1343</v>
      </c>
      <c r="K188" t="s">
        <v>383</v>
      </c>
      <c r="L188" s="5">
        <v>8</v>
      </c>
      <c r="M188" s="7" t="s">
        <v>338</v>
      </c>
      <c r="N188" t="s">
        <v>358</v>
      </c>
      <c r="O188" t="s">
        <v>763</v>
      </c>
      <c r="P188" t="s">
        <v>225</v>
      </c>
      <c r="Q188" s="19" t="s">
        <v>205</v>
      </c>
      <c r="R188" t="s">
        <v>205</v>
      </c>
      <c r="S188" t="s">
        <v>205</v>
      </c>
      <c r="T188" t="s">
        <v>225</v>
      </c>
      <c r="U188" s="18" t="s">
        <v>277</v>
      </c>
      <c r="V188" t="s">
        <v>204</v>
      </c>
      <c r="W188" t="s">
        <v>225</v>
      </c>
      <c r="X188">
        <v>1</v>
      </c>
      <c r="Y188" t="s">
        <v>205</v>
      </c>
      <c r="Z188" t="s">
        <v>225</v>
      </c>
      <c r="AA188" t="s">
        <v>205</v>
      </c>
      <c r="AB188" t="s">
        <v>205</v>
      </c>
      <c r="AC188" t="s">
        <v>205</v>
      </c>
      <c r="AD188" t="s">
        <v>205</v>
      </c>
      <c r="AE188">
        <v>1</v>
      </c>
      <c r="AF188" t="s">
        <v>225</v>
      </c>
      <c r="AG188" t="s">
        <v>225</v>
      </c>
      <c r="AH188" t="s">
        <v>225</v>
      </c>
      <c r="AI188" t="s">
        <v>225</v>
      </c>
      <c r="AJ188" t="s">
        <v>225</v>
      </c>
      <c r="AK188" t="s">
        <v>225</v>
      </c>
      <c r="AL188" t="s">
        <v>205</v>
      </c>
      <c r="AM188" t="s">
        <v>225</v>
      </c>
      <c r="AN188" t="s">
        <v>225</v>
      </c>
      <c r="AO188" t="s">
        <v>225</v>
      </c>
      <c r="AP188" t="s">
        <v>225</v>
      </c>
      <c r="AQ188" t="s">
        <v>225</v>
      </c>
      <c r="AR188" t="s">
        <v>225</v>
      </c>
      <c r="AS188" t="s">
        <v>225</v>
      </c>
      <c r="AT188" t="s">
        <v>225</v>
      </c>
      <c r="AU188" t="s">
        <v>225</v>
      </c>
      <c r="AV188" t="s">
        <v>225</v>
      </c>
      <c r="AW188" t="s">
        <v>225</v>
      </c>
      <c r="AX188" t="s">
        <v>225</v>
      </c>
      <c r="AY188" t="s">
        <v>225</v>
      </c>
      <c r="AZ188" t="s">
        <v>225</v>
      </c>
      <c r="BA188" t="s">
        <v>225</v>
      </c>
      <c r="BB188" t="s">
        <v>225</v>
      </c>
      <c r="BC188" t="s">
        <v>225</v>
      </c>
      <c r="BD188" t="s">
        <v>225</v>
      </c>
      <c r="BE188" t="s">
        <v>225</v>
      </c>
      <c r="BF188" t="s">
        <v>225</v>
      </c>
      <c r="BG188" t="s">
        <v>225</v>
      </c>
      <c r="BH188" t="s">
        <v>225</v>
      </c>
      <c r="BI188" t="s">
        <v>225</v>
      </c>
      <c r="BJ188" t="s">
        <v>225</v>
      </c>
      <c r="BK188" t="s">
        <v>225</v>
      </c>
      <c r="BL188" t="s">
        <v>205</v>
      </c>
      <c r="BN188" t="s">
        <v>815</v>
      </c>
      <c r="BO188" t="s">
        <v>571</v>
      </c>
      <c r="BP188" t="s">
        <v>762</v>
      </c>
      <c r="BQ188" t="s">
        <v>3563</v>
      </c>
      <c r="BR188">
        <f>1/4</f>
        <v>0.25</v>
      </c>
      <c r="BS188">
        <v>0</v>
      </c>
      <c r="BT188">
        <v>0</v>
      </c>
      <c r="BU188" s="5">
        <f>(BS188/8+BT188/4)*39</f>
        <v>0</v>
      </c>
      <c r="BV188">
        <v>0</v>
      </c>
      <c r="BW188">
        <v>0</v>
      </c>
      <c r="BX188">
        <f>3</f>
        <v>3</v>
      </c>
      <c r="BY188">
        <v>1</v>
      </c>
      <c r="BZ188">
        <v>0</v>
      </c>
      <c r="CA188">
        <v>0</v>
      </c>
      <c r="CB188">
        <v>0</v>
      </c>
      <c r="CC188" s="5">
        <f>(BV188+BW188/2+BX188/8+BY188/16+BZ188/4+CA188/32)*39</f>
        <v>17.0625</v>
      </c>
      <c r="CD188">
        <v>0</v>
      </c>
      <c r="CE188">
        <v>0</v>
      </c>
      <c r="CF188">
        <v>1</v>
      </c>
      <c r="CG188">
        <v>0</v>
      </c>
      <c r="CH188">
        <v>0</v>
      </c>
      <c r="CI188">
        <v>0</v>
      </c>
      <c r="CJ188">
        <v>0</v>
      </c>
      <c r="CK188">
        <v>0</v>
      </c>
      <c r="CL188" s="5">
        <f>(CD188+CE188/2+CF188/8+CG188/16+CH188/4+CJ188/32+CK188/16)*39</f>
        <v>4.875</v>
      </c>
      <c r="CM188">
        <v>0</v>
      </c>
      <c r="CN188">
        <v>0</v>
      </c>
      <c r="CO188">
        <v>0</v>
      </c>
      <c r="CP188">
        <v>0</v>
      </c>
      <c r="CQ188">
        <v>0</v>
      </c>
      <c r="CS188">
        <v>2</v>
      </c>
      <c r="CT188">
        <v>0</v>
      </c>
      <c r="CU188">
        <v>0</v>
      </c>
      <c r="CV188">
        <v>-1</v>
      </c>
      <c r="CW188">
        <f>CS188+CT188/24+CU188/48+CV188/48</f>
        <v>1.9791666666666667</v>
      </c>
      <c r="CX188">
        <v>0</v>
      </c>
      <c r="CY188" t="s">
        <v>248</v>
      </c>
      <c r="CZ188" t="s">
        <v>210</v>
      </c>
      <c r="DB188" t="s">
        <v>767</v>
      </c>
      <c r="DC188" t="s">
        <v>768</v>
      </c>
      <c r="DD188" t="s">
        <v>693</v>
      </c>
      <c r="DE188" t="s">
        <v>773</v>
      </c>
      <c r="DF188" t="s">
        <v>774</v>
      </c>
      <c r="DG188" t="s">
        <v>775</v>
      </c>
      <c r="DJ188" t="s">
        <v>483</v>
      </c>
    </row>
    <row r="189" spans="1:114" x14ac:dyDescent="0.25">
      <c r="A189">
        <v>701</v>
      </c>
      <c r="C189" t="s">
        <v>769</v>
      </c>
      <c r="D189" t="s">
        <v>73</v>
      </c>
      <c r="E189" t="s">
        <v>68</v>
      </c>
      <c r="G189" t="s">
        <v>771</v>
      </c>
      <c r="I189" t="s">
        <v>220</v>
      </c>
      <c r="J189">
        <v>1343</v>
      </c>
      <c r="K189" t="s">
        <v>383</v>
      </c>
      <c r="L189" s="5">
        <v>8</v>
      </c>
      <c r="M189" s="7" t="s">
        <v>338</v>
      </c>
      <c r="N189" t="s">
        <v>358</v>
      </c>
      <c r="O189" t="s">
        <v>201</v>
      </c>
      <c r="P189" t="s">
        <v>225</v>
      </c>
      <c r="Q189" s="19" t="s">
        <v>205</v>
      </c>
      <c r="R189" t="s">
        <v>205</v>
      </c>
      <c r="S189" t="s">
        <v>205</v>
      </c>
      <c r="T189" t="s">
        <v>225</v>
      </c>
      <c r="U189" t="s">
        <v>277</v>
      </c>
      <c r="V189" t="s">
        <v>204</v>
      </c>
      <c r="W189" t="s">
        <v>225</v>
      </c>
      <c r="X189">
        <v>1</v>
      </c>
      <c r="Y189" t="s">
        <v>225</v>
      </c>
      <c r="Z189" t="s">
        <v>205</v>
      </c>
      <c r="AA189" t="s">
        <v>225</v>
      </c>
      <c r="AB189" t="s">
        <v>225</v>
      </c>
      <c r="AC189" t="s">
        <v>225</v>
      </c>
      <c r="AD189" t="s">
        <v>205</v>
      </c>
      <c r="AE189">
        <v>1</v>
      </c>
      <c r="AF189" t="s">
        <v>225</v>
      </c>
      <c r="AG189" t="s">
        <v>225</v>
      </c>
      <c r="AH189" t="s">
        <v>225</v>
      </c>
      <c r="AI189" t="s">
        <v>225</v>
      </c>
      <c r="AJ189" t="s">
        <v>225</v>
      </c>
      <c r="AK189" t="s">
        <v>225</v>
      </c>
      <c r="AL189" t="s">
        <v>225</v>
      </c>
      <c r="AM189" t="s">
        <v>225</v>
      </c>
      <c r="AN189" t="s">
        <v>225</v>
      </c>
      <c r="AO189" t="s">
        <v>225</v>
      </c>
      <c r="AP189" t="s">
        <v>225</v>
      </c>
      <c r="AQ189" t="s">
        <v>225</v>
      </c>
      <c r="AR189" t="s">
        <v>225</v>
      </c>
      <c r="AS189" t="s">
        <v>225</v>
      </c>
      <c r="AT189" t="s">
        <v>225</v>
      </c>
      <c r="AU189" t="s">
        <v>225</v>
      </c>
      <c r="AV189" t="s">
        <v>225</v>
      </c>
      <c r="AW189" t="s">
        <v>225</v>
      </c>
      <c r="AX189" t="s">
        <v>225</v>
      </c>
      <c r="AY189" t="s">
        <v>225</v>
      </c>
      <c r="AZ189" t="s">
        <v>225</v>
      </c>
      <c r="BA189" t="s">
        <v>225</v>
      </c>
      <c r="BB189" t="s">
        <v>225</v>
      </c>
      <c r="BC189" t="s">
        <v>225</v>
      </c>
      <c r="BD189" t="s">
        <v>225</v>
      </c>
      <c r="BE189" t="s">
        <v>225</v>
      </c>
      <c r="BF189" t="s">
        <v>225</v>
      </c>
      <c r="BG189" t="s">
        <v>225</v>
      </c>
      <c r="BH189" t="s">
        <v>225</v>
      </c>
      <c r="BI189" t="s">
        <v>225</v>
      </c>
      <c r="BJ189" t="s">
        <v>225</v>
      </c>
      <c r="BK189" t="s">
        <v>225</v>
      </c>
      <c r="BL189" t="s">
        <v>205</v>
      </c>
      <c r="BN189" t="s">
        <v>764</v>
      </c>
      <c r="BO189" t="s">
        <v>571</v>
      </c>
      <c r="BQ189" t="s">
        <v>3563</v>
      </c>
      <c r="BR189">
        <f>1/8</f>
        <v>0.125</v>
      </c>
      <c r="BS189">
        <v>0</v>
      </c>
      <c r="BT189">
        <v>0</v>
      </c>
      <c r="BU189" s="5">
        <f>(BS189/8+BT189/4)*39</f>
        <v>0</v>
      </c>
      <c r="BV189">
        <v>0</v>
      </c>
      <c r="BW189">
        <v>0</v>
      </c>
      <c r="BX189">
        <f>1.5</f>
        <v>1.5</v>
      </c>
      <c r="BY189">
        <f>1/2</f>
        <v>0.5</v>
      </c>
      <c r="BZ189">
        <v>0</v>
      </c>
      <c r="CA189">
        <v>0</v>
      </c>
      <c r="CB189">
        <v>0</v>
      </c>
      <c r="CC189" s="5">
        <f>(BV189+BW189/2+BX189/8+BY189/16+BZ189/4+CA189/32)*39</f>
        <v>8.53125</v>
      </c>
      <c r="CD189">
        <v>0</v>
      </c>
      <c r="CE189">
        <v>0</v>
      </c>
      <c r="CF189">
        <v>0.5</v>
      </c>
      <c r="CG189">
        <v>0</v>
      </c>
      <c r="CH189">
        <v>0</v>
      </c>
      <c r="CI189">
        <v>0</v>
      </c>
      <c r="CJ189">
        <v>0</v>
      </c>
      <c r="CK189">
        <v>0</v>
      </c>
      <c r="CL189" s="5">
        <f>(CD189+CE189/2+CF189/8+CG189/16+CH189/4+CJ189/32+CK189/16)*39</f>
        <v>2.4375</v>
      </c>
      <c r="CM189">
        <v>0</v>
      </c>
      <c r="CN189">
        <v>0</v>
      </c>
      <c r="CO189">
        <v>0</v>
      </c>
      <c r="CP189">
        <v>0</v>
      </c>
      <c r="CQ189">
        <v>0</v>
      </c>
      <c r="CS189">
        <f>12/12</f>
        <v>1</v>
      </c>
      <c r="CT189">
        <v>0</v>
      </c>
      <c r="CU189">
        <v>0</v>
      </c>
      <c r="CV189">
        <f>-1/2</f>
        <v>-0.5</v>
      </c>
      <c r="CW189">
        <f>CS189+CT189/24+CU189/48+CV189/48</f>
        <v>0.98958333333333337</v>
      </c>
      <c r="CX189">
        <v>0</v>
      </c>
      <c r="CY189" t="s">
        <v>248</v>
      </c>
      <c r="CZ189" t="s">
        <v>210</v>
      </c>
      <c r="DC189" t="s">
        <v>768</v>
      </c>
      <c r="DD189" t="s">
        <v>693</v>
      </c>
      <c r="DE189" t="s">
        <v>773</v>
      </c>
      <c r="DF189" t="s">
        <v>774</v>
      </c>
      <c r="DG189" t="s">
        <v>775</v>
      </c>
    </row>
    <row r="190" spans="1:114" x14ac:dyDescent="0.25">
      <c r="A190">
        <v>711</v>
      </c>
      <c r="C190" t="s">
        <v>770</v>
      </c>
      <c r="D190" t="s">
        <v>73</v>
      </c>
      <c r="E190" t="s">
        <v>68</v>
      </c>
      <c r="G190" t="s">
        <v>771</v>
      </c>
      <c r="I190" t="s">
        <v>220</v>
      </c>
      <c r="J190">
        <v>1343</v>
      </c>
      <c r="K190" t="s">
        <v>383</v>
      </c>
      <c r="L190" s="5">
        <v>8</v>
      </c>
      <c r="M190" s="7" t="s">
        <v>338</v>
      </c>
      <c r="N190" t="s">
        <v>358</v>
      </c>
      <c r="O190" t="s">
        <v>201</v>
      </c>
      <c r="P190" t="s">
        <v>225</v>
      </c>
      <c r="Q190" s="19" t="s">
        <v>205</v>
      </c>
      <c r="R190" t="s">
        <v>225</v>
      </c>
      <c r="S190" t="s">
        <v>205</v>
      </c>
      <c r="T190" t="s">
        <v>225</v>
      </c>
      <c r="U190" t="s">
        <v>772</v>
      </c>
      <c r="W190" t="s">
        <v>225</v>
      </c>
      <c r="X190" t="s">
        <v>225</v>
      </c>
      <c r="Y190" t="s">
        <v>205</v>
      </c>
      <c r="Z190" t="s">
        <v>225</v>
      </c>
      <c r="AA190" t="s">
        <v>225</v>
      </c>
      <c r="AB190" t="s">
        <v>225</v>
      </c>
      <c r="AC190" t="s">
        <v>225</v>
      </c>
      <c r="AD190" t="s">
        <v>205</v>
      </c>
      <c r="AE190" t="s">
        <v>225</v>
      </c>
      <c r="AF190" t="s">
        <v>225</v>
      </c>
      <c r="AG190" t="s">
        <v>225</v>
      </c>
      <c r="AH190" t="s">
        <v>225</v>
      </c>
      <c r="AI190" t="s">
        <v>225</v>
      </c>
      <c r="AJ190" t="s">
        <v>225</v>
      </c>
      <c r="AK190" t="s">
        <v>225</v>
      </c>
      <c r="AL190" t="s">
        <v>225</v>
      </c>
      <c r="AM190" t="s">
        <v>225</v>
      </c>
      <c r="AN190" t="s">
        <v>225</v>
      </c>
      <c r="AO190" t="s">
        <v>225</v>
      </c>
      <c r="AP190" t="s">
        <v>225</v>
      </c>
      <c r="AQ190" t="s">
        <v>225</v>
      </c>
      <c r="AR190" t="s">
        <v>225</v>
      </c>
      <c r="AS190" t="s">
        <v>225</v>
      </c>
      <c r="AT190" t="s">
        <v>225</v>
      </c>
      <c r="AU190" t="s">
        <v>225</v>
      </c>
      <c r="AV190" t="s">
        <v>225</v>
      </c>
      <c r="AW190" t="s">
        <v>225</v>
      </c>
      <c r="AX190" t="s">
        <v>225</v>
      </c>
      <c r="AY190" t="s">
        <v>225</v>
      </c>
      <c r="AZ190" t="s">
        <v>225</v>
      </c>
      <c r="BA190" t="s">
        <v>225</v>
      </c>
      <c r="BB190" t="s">
        <v>225</v>
      </c>
      <c r="BC190" t="s">
        <v>225</v>
      </c>
      <c r="BD190" t="s">
        <v>225</v>
      </c>
      <c r="BE190" t="s">
        <v>225</v>
      </c>
      <c r="BF190" t="s">
        <v>225</v>
      </c>
      <c r="BG190" t="s">
        <v>225</v>
      </c>
      <c r="BH190" t="s">
        <v>225</v>
      </c>
      <c r="BI190" t="s">
        <v>225</v>
      </c>
      <c r="BJ190" t="s">
        <v>225</v>
      </c>
      <c r="BK190" t="s">
        <v>225</v>
      </c>
      <c r="BL190" t="s">
        <v>205</v>
      </c>
      <c r="BO190" t="s">
        <v>571</v>
      </c>
      <c r="BQ190" t="s">
        <v>3563</v>
      </c>
      <c r="BR190">
        <f>1/8</f>
        <v>0.125</v>
      </c>
      <c r="BS190">
        <v>0</v>
      </c>
      <c r="BT190">
        <v>0</v>
      </c>
      <c r="BU190" s="5">
        <f>(BS190/8+BT190/4)*39</f>
        <v>0</v>
      </c>
      <c r="BV190">
        <v>0</v>
      </c>
      <c r="BW190">
        <v>0</v>
      </c>
      <c r="BX190">
        <f>3/2</f>
        <v>1.5</v>
      </c>
      <c r="BY190">
        <f>1/4</f>
        <v>0.25</v>
      </c>
      <c r="BZ190">
        <v>0</v>
      </c>
      <c r="CA190">
        <v>0</v>
      </c>
      <c r="CB190">
        <v>0</v>
      </c>
      <c r="CC190" s="5">
        <f>(BV190+BW190/2+BX190/8+BY190/16+BZ190/4+CA190/32)*39</f>
        <v>7.921875</v>
      </c>
      <c r="CD190">
        <v>0</v>
      </c>
      <c r="CE190">
        <v>0</v>
      </c>
      <c r="CF190">
        <f>1/2</f>
        <v>0.5</v>
      </c>
      <c r="CG190">
        <v>0</v>
      </c>
      <c r="CH190">
        <v>0</v>
      </c>
      <c r="CI190">
        <v>0</v>
      </c>
      <c r="CJ190">
        <v>0</v>
      </c>
      <c r="CK190">
        <v>0</v>
      </c>
      <c r="CL190" s="5">
        <f>(CD190+CE190/2+CF190/8+CG190/16+CH190/4+CJ190/32+CK190/16)*39</f>
        <v>2.4375</v>
      </c>
      <c r="CM190">
        <v>0</v>
      </c>
      <c r="CN190">
        <v>0</v>
      </c>
      <c r="CO190">
        <v>0</v>
      </c>
      <c r="CP190">
        <v>0</v>
      </c>
      <c r="CQ190">
        <v>0</v>
      </c>
      <c r="CS190">
        <f>12/12</f>
        <v>1</v>
      </c>
      <c r="CT190">
        <v>0</v>
      </c>
      <c r="CU190">
        <v>0</v>
      </c>
      <c r="CV190">
        <v>-1</v>
      </c>
      <c r="CW190">
        <f>CS190+CT190/24+CU190/48+CV190/48</f>
        <v>0.97916666666666663</v>
      </c>
      <c r="CX190">
        <v>0</v>
      </c>
      <c r="CZ190" t="s">
        <v>210</v>
      </c>
      <c r="DC190" t="s">
        <v>768</v>
      </c>
      <c r="DD190" t="s">
        <v>693</v>
      </c>
      <c r="DE190" t="s">
        <v>773</v>
      </c>
      <c r="DF190" t="s">
        <v>774</v>
      </c>
      <c r="DG190" t="s">
        <v>775</v>
      </c>
    </row>
    <row r="191" spans="1:114" x14ac:dyDescent="0.25">
      <c r="A191">
        <v>362</v>
      </c>
      <c r="C191" t="s">
        <v>416</v>
      </c>
      <c r="D191" t="s">
        <v>143</v>
      </c>
      <c r="E191" t="s">
        <v>396</v>
      </c>
      <c r="I191" t="s">
        <v>219</v>
      </c>
      <c r="J191">
        <v>1343</v>
      </c>
      <c r="K191" t="s">
        <v>249</v>
      </c>
      <c r="L191">
        <v>8</v>
      </c>
      <c r="M191" s="7" t="s">
        <v>338</v>
      </c>
      <c r="P191" t="s">
        <v>225</v>
      </c>
      <c r="Q191" t="s">
        <v>225</v>
      </c>
      <c r="R191" t="s">
        <v>225</v>
      </c>
      <c r="S191" t="s">
        <v>225</v>
      </c>
      <c r="T191" t="s">
        <v>225</v>
      </c>
      <c r="V191" t="s">
        <v>204</v>
      </c>
      <c r="W191" t="s">
        <v>225</v>
      </c>
      <c r="X191" t="s">
        <v>225</v>
      </c>
      <c r="Y191">
        <v>2</v>
      </c>
      <c r="Z191" t="s">
        <v>225</v>
      </c>
      <c r="AA191" s="8">
        <v>1</v>
      </c>
      <c r="AB191" s="8" t="s">
        <v>225</v>
      </c>
      <c r="AC191" s="8" t="s">
        <v>225</v>
      </c>
      <c r="AD191" s="8" t="s">
        <v>225</v>
      </c>
      <c r="AE191" s="8" t="s">
        <v>225</v>
      </c>
      <c r="AF191" s="8" t="s">
        <v>225</v>
      </c>
      <c r="AG191" s="8" t="s">
        <v>225</v>
      </c>
      <c r="AH191" s="8" t="s">
        <v>225</v>
      </c>
      <c r="AI191" s="8" t="s">
        <v>225</v>
      </c>
      <c r="AJ191" s="8" t="s">
        <v>225</v>
      </c>
      <c r="AK191" s="8" t="s">
        <v>225</v>
      </c>
      <c r="AL191" s="8" t="s">
        <v>225</v>
      </c>
      <c r="AM191" t="s">
        <v>225</v>
      </c>
      <c r="AN191" t="s">
        <v>225</v>
      </c>
      <c r="AO191" t="s">
        <v>225</v>
      </c>
      <c r="AP191" t="s">
        <v>225</v>
      </c>
      <c r="AQ191" t="s">
        <v>225</v>
      </c>
      <c r="AR191" t="s">
        <v>225</v>
      </c>
      <c r="AS191" t="s">
        <v>225</v>
      </c>
      <c r="AT191" t="s">
        <v>225</v>
      </c>
      <c r="AU191" t="s">
        <v>225</v>
      </c>
      <c r="AV191" t="s">
        <v>225</v>
      </c>
      <c r="AW191" t="s">
        <v>225</v>
      </c>
      <c r="AX191" t="s">
        <v>225</v>
      </c>
      <c r="AY191" t="s">
        <v>225</v>
      </c>
      <c r="AZ191" t="s">
        <v>225</v>
      </c>
      <c r="BA191" t="s">
        <v>225</v>
      </c>
      <c r="BB191" t="s">
        <v>225</v>
      </c>
      <c r="BC191" t="s">
        <v>225</v>
      </c>
      <c r="BD191" t="s">
        <v>225</v>
      </c>
      <c r="BE191" t="s">
        <v>225</v>
      </c>
      <c r="BF191" t="s">
        <v>225</v>
      </c>
      <c r="BG191" t="s">
        <v>225</v>
      </c>
      <c r="BH191" t="s">
        <v>225</v>
      </c>
      <c r="BI191" t="s">
        <v>225</v>
      </c>
      <c r="BJ191" t="s">
        <v>225</v>
      </c>
      <c r="BK191" t="s">
        <v>225</v>
      </c>
      <c r="BL191" s="8" t="s">
        <v>225</v>
      </c>
      <c r="BM191" s="8"/>
      <c r="BN191" t="s">
        <v>488</v>
      </c>
      <c r="BR191">
        <v>0</v>
      </c>
      <c r="BS191">
        <v>0</v>
      </c>
      <c r="BT191">
        <v>0</v>
      </c>
      <c r="BU191" s="5">
        <f>(BS191/8+BT191/4)*39</f>
        <v>0</v>
      </c>
      <c r="BV191">
        <v>0</v>
      </c>
      <c r="BW191" s="5">
        <v>0</v>
      </c>
      <c r="BX191" s="5">
        <v>0</v>
      </c>
      <c r="BY191">
        <v>0</v>
      </c>
      <c r="BZ191">
        <v>0</v>
      </c>
      <c r="CA191">
        <v>0</v>
      </c>
      <c r="CB191">
        <v>0</v>
      </c>
      <c r="CC191" s="5">
        <f>(BV191+BW191/2+BX191/8+BY191/16+BZ191/4+CA191/32)*39</f>
        <v>0</v>
      </c>
      <c r="CD191">
        <v>0</v>
      </c>
      <c r="CE191">
        <v>0</v>
      </c>
      <c r="CF191">
        <v>0</v>
      </c>
      <c r="CG191">
        <v>0</v>
      </c>
      <c r="CH191">
        <v>0</v>
      </c>
      <c r="CI191">
        <v>0</v>
      </c>
      <c r="CJ191">
        <v>0</v>
      </c>
      <c r="CK191">
        <v>0</v>
      </c>
      <c r="CL191" s="5">
        <f>(CD191+CE191/2+CF191/8+CG191/16+CH191/4+CJ191/32+CK191/16)*39</f>
        <v>0</v>
      </c>
      <c r="CM191">
        <v>0</v>
      </c>
      <c r="CN191">
        <v>0</v>
      </c>
      <c r="CO191">
        <v>0</v>
      </c>
      <c r="CP191">
        <v>0</v>
      </c>
      <c r="CQ191">
        <v>0</v>
      </c>
      <c r="CS191">
        <v>7</v>
      </c>
      <c r="CV191">
        <v>0</v>
      </c>
      <c r="CW191">
        <f>CS191+CT191/24+CU191/48+CV191/48</f>
        <v>7</v>
      </c>
      <c r="CX191">
        <v>0</v>
      </c>
      <c r="CZ191" t="s">
        <v>210</v>
      </c>
      <c r="DC191" t="s">
        <v>262</v>
      </c>
      <c r="DD191" t="s">
        <v>693</v>
      </c>
      <c r="DE191" t="s">
        <v>424</v>
      </c>
      <c r="DF191" t="s">
        <v>425</v>
      </c>
      <c r="DG191" t="s">
        <v>415</v>
      </c>
    </row>
    <row r="192" spans="1:114" x14ac:dyDescent="0.25">
      <c r="A192">
        <v>1292</v>
      </c>
      <c r="C192" t="s">
        <v>107</v>
      </c>
      <c r="D192" t="s">
        <v>172</v>
      </c>
      <c r="E192" t="s">
        <v>1694</v>
      </c>
      <c r="G192" t="s">
        <v>1692</v>
      </c>
      <c r="H192" t="s">
        <v>1693</v>
      </c>
      <c r="I192" t="s">
        <v>219</v>
      </c>
      <c r="J192">
        <v>1343</v>
      </c>
      <c r="K192" t="s">
        <v>1097</v>
      </c>
      <c r="L192">
        <v>10</v>
      </c>
      <c r="M192" s="7" t="s">
        <v>338</v>
      </c>
      <c r="N192" t="s">
        <v>986</v>
      </c>
      <c r="V192" t="s">
        <v>1463</v>
      </c>
      <c r="W192" t="s">
        <v>225</v>
      </c>
      <c r="X192" t="s">
        <v>225</v>
      </c>
      <c r="Y192" t="s">
        <v>225</v>
      </c>
      <c r="Z192" s="5" t="s">
        <v>225</v>
      </c>
      <c r="AA192" s="5" t="s">
        <v>225</v>
      </c>
      <c r="AB192" s="5" t="s">
        <v>225</v>
      </c>
      <c r="AC192" s="5" t="s">
        <v>225</v>
      </c>
      <c r="AD192" s="5">
        <v>1</v>
      </c>
      <c r="AE192" s="5" t="s">
        <v>225</v>
      </c>
      <c r="AF192" s="5" t="s">
        <v>225</v>
      </c>
      <c r="AG192" s="5" t="s">
        <v>225</v>
      </c>
      <c r="AH192" s="5" t="s">
        <v>225</v>
      </c>
      <c r="AI192" s="5" t="s">
        <v>225</v>
      </c>
      <c r="AJ192" s="5" t="s">
        <v>225</v>
      </c>
      <c r="AK192" s="5" t="s">
        <v>225</v>
      </c>
      <c r="AL192" s="5" t="s">
        <v>225</v>
      </c>
      <c r="AM192" s="5" t="s">
        <v>225</v>
      </c>
      <c r="AN192" s="5" t="s">
        <v>225</v>
      </c>
      <c r="AO192" s="5" t="s">
        <v>225</v>
      </c>
      <c r="AP192" s="5" t="s">
        <v>225</v>
      </c>
      <c r="AQ192" s="5" t="s">
        <v>225</v>
      </c>
      <c r="AR192" s="5" t="s">
        <v>225</v>
      </c>
      <c r="AS192" s="5" t="s">
        <v>225</v>
      </c>
      <c r="AT192" s="5" t="s">
        <v>225</v>
      </c>
      <c r="AU192" s="5" t="s">
        <v>225</v>
      </c>
      <c r="AV192" s="5" t="s">
        <v>225</v>
      </c>
      <c r="AW192" s="5" t="s">
        <v>225</v>
      </c>
      <c r="AX192" s="5" t="s">
        <v>225</v>
      </c>
      <c r="AY192" t="s">
        <v>225</v>
      </c>
      <c r="AZ192" t="s">
        <v>225</v>
      </c>
      <c r="BA192" t="s">
        <v>225</v>
      </c>
      <c r="BB192" t="s">
        <v>225</v>
      </c>
      <c r="BC192" t="s">
        <v>225</v>
      </c>
      <c r="BD192" t="s">
        <v>225</v>
      </c>
      <c r="BE192" t="s">
        <v>225</v>
      </c>
      <c r="BF192" t="s">
        <v>225</v>
      </c>
      <c r="BG192" t="s">
        <v>225</v>
      </c>
      <c r="BH192" t="s">
        <v>225</v>
      </c>
      <c r="BI192" t="s">
        <v>225</v>
      </c>
      <c r="BJ192" t="s">
        <v>225</v>
      </c>
      <c r="BK192" t="s">
        <v>225</v>
      </c>
      <c r="BL192" s="5" t="s">
        <v>225</v>
      </c>
      <c r="BN192" s="5" t="s">
        <v>791</v>
      </c>
      <c r="BR192" s="5">
        <v>1</v>
      </c>
      <c r="BS192" s="5">
        <v>0</v>
      </c>
      <c r="BT192" s="5">
        <v>0</v>
      </c>
      <c r="BU192" s="5">
        <f>(BS192/8+BT192/4)*39</f>
        <v>0</v>
      </c>
      <c r="BV192" s="5">
        <v>0</v>
      </c>
      <c r="BW192" s="5">
        <v>0</v>
      </c>
      <c r="BX192" s="5">
        <v>0</v>
      </c>
      <c r="BY192" s="5">
        <v>0</v>
      </c>
      <c r="BZ192" s="5">
        <v>0</v>
      </c>
      <c r="CA192" s="5">
        <v>0</v>
      </c>
      <c r="CB192" s="5">
        <v>0</v>
      </c>
      <c r="CC192" s="5">
        <f>(BV192+BW192/2+BX192/8+BY192/16+BZ192/4+CA192/32)*39</f>
        <v>0</v>
      </c>
      <c r="CD192" s="5">
        <v>0</v>
      </c>
      <c r="CE192" s="5">
        <v>0</v>
      </c>
      <c r="CF192" s="5">
        <v>0</v>
      </c>
      <c r="CG192" s="5">
        <v>0</v>
      </c>
      <c r="CH192" s="5">
        <v>0</v>
      </c>
      <c r="CI192" s="5">
        <v>0</v>
      </c>
      <c r="CJ192" s="5">
        <v>0</v>
      </c>
      <c r="CK192" s="5">
        <v>0</v>
      </c>
      <c r="CL192" s="5">
        <f>(CD192+CE192/2+CF192/8+CG192/16+CH192/4+CJ192/32+CK192/16)*39</f>
        <v>0</v>
      </c>
      <c r="CM192" s="5">
        <v>0</v>
      </c>
      <c r="CN192" s="5">
        <v>0</v>
      </c>
      <c r="CO192" s="5">
        <v>0</v>
      </c>
      <c r="CP192" s="5">
        <v>0</v>
      </c>
      <c r="CQ192" s="5">
        <v>0</v>
      </c>
      <c r="CS192">
        <f>12/12</f>
        <v>1</v>
      </c>
      <c r="CT192">
        <v>0</v>
      </c>
      <c r="CU192">
        <v>0</v>
      </c>
      <c r="CV192">
        <v>0</v>
      </c>
      <c r="CW192">
        <f>CS192+CT192/24+CU192/48+CV192/48</f>
        <v>1</v>
      </c>
      <c r="CX192">
        <v>0</v>
      </c>
      <c r="CZ192" t="s">
        <v>210</v>
      </c>
      <c r="DC192" t="s">
        <v>1645</v>
      </c>
      <c r="DD192" t="s">
        <v>693</v>
      </c>
      <c r="DE192" t="s">
        <v>263</v>
      </c>
      <c r="DF192" t="s">
        <v>1571</v>
      </c>
      <c r="DG192" t="s">
        <v>1666</v>
      </c>
    </row>
    <row r="193" spans="1:114" x14ac:dyDescent="0.25">
      <c r="A193">
        <v>831</v>
      </c>
      <c r="B193" t="s">
        <v>788</v>
      </c>
      <c r="C193" t="s">
        <v>465</v>
      </c>
      <c r="D193" t="s">
        <v>1027</v>
      </c>
      <c r="E193" t="s">
        <v>776</v>
      </c>
      <c r="I193" t="s">
        <v>219</v>
      </c>
      <c r="J193">
        <v>1343</v>
      </c>
      <c r="K193" t="s">
        <v>431</v>
      </c>
      <c r="L193" s="5">
        <v>29</v>
      </c>
      <c r="M193" s="7" t="s">
        <v>338</v>
      </c>
      <c r="N193" t="s">
        <v>1026</v>
      </c>
      <c r="V193" t="s">
        <v>204</v>
      </c>
      <c r="W193" t="s">
        <v>225</v>
      </c>
      <c r="X193" t="s">
        <v>225</v>
      </c>
      <c r="Y193">
        <v>2</v>
      </c>
      <c r="Z193" t="s">
        <v>225</v>
      </c>
      <c r="AA193" t="s">
        <v>225</v>
      </c>
      <c r="AB193" t="s">
        <v>225</v>
      </c>
      <c r="AC193">
        <v>1</v>
      </c>
      <c r="AD193" t="s">
        <v>225</v>
      </c>
      <c r="AE193" t="s">
        <v>225</v>
      </c>
      <c r="AF193" t="s">
        <v>225</v>
      </c>
      <c r="AG193" t="s">
        <v>225</v>
      </c>
      <c r="AH193" t="s">
        <v>225</v>
      </c>
      <c r="AI193" t="s">
        <v>225</v>
      </c>
      <c r="AJ193" t="s">
        <v>225</v>
      </c>
      <c r="AK193" t="s">
        <v>225</v>
      </c>
      <c r="AL193" t="s">
        <v>225</v>
      </c>
      <c r="AM193" t="s">
        <v>225</v>
      </c>
      <c r="AN193" t="s">
        <v>225</v>
      </c>
      <c r="AO193" t="s">
        <v>225</v>
      </c>
      <c r="AP193">
        <v>2</v>
      </c>
      <c r="AQ193" t="s">
        <v>225</v>
      </c>
      <c r="AR193" t="s">
        <v>225</v>
      </c>
      <c r="AS193" t="s">
        <v>225</v>
      </c>
      <c r="AT193" t="s">
        <v>225</v>
      </c>
      <c r="AU193" t="s">
        <v>225</v>
      </c>
      <c r="AV193" t="s">
        <v>225</v>
      </c>
      <c r="AW193" t="s">
        <v>225</v>
      </c>
      <c r="AX193" t="s">
        <v>225</v>
      </c>
      <c r="AY193" t="s">
        <v>225</v>
      </c>
      <c r="AZ193" t="s">
        <v>225</v>
      </c>
      <c r="BA193" t="s">
        <v>225</v>
      </c>
      <c r="BB193" t="s">
        <v>225</v>
      </c>
      <c r="BC193" t="s">
        <v>225</v>
      </c>
      <c r="BD193" t="s">
        <v>225</v>
      </c>
      <c r="BE193" t="s">
        <v>225</v>
      </c>
      <c r="BF193" t="s">
        <v>225</v>
      </c>
      <c r="BG193" t="s">
        <v>225</v>
      </c>
      <c r="BH193" t="s">
        <v>225</v>
      </c>
      <c r="BI193" t="s">
        <v>225</v>
      </c>
      <c r="BJ193" t="s">
        <v>225</v>
      </c>
      <c r="BK193" t="s">
        <v>225</v>
      </c>
      <c r="BL193" t="s">
        <v>225</v>
      </c>
      <c r="BN193" t="s">
        <v>1037</v>
      </c>
      <c r="BQ193" t="s">
        <v>1455</v>
      </c>
      <c r="BR193" s="5">
        <v>0</v>
      </c>
      <c r="BS193" s="5">
        <v>0</v>
      </c>
      <c r="BT193" s="5">
        <v>0</v>
      </c>
      <c r="BU193" s="5">
        <f>(BS193/8+BT193/4)*39</f>
        <v>0</v>
      </c>
      <c r="BV193" s="5">
        <v>0</v>
      </c>
      <c r="BW193" s="5">
        <v>0</v>
      </c>
      <c r="BX193" s="5">
        <v>1</v>
      </c>
      <c r="BY193" s="5">
        <v>0</v>
      </c>
      <c r="BZ193" s="5">
        <v>0</v>
      </c>
      <c r="CA193" s="5">
        <v>0</v>
      </c>
      <c r="CB193" s="5">
        <v>0</v>
      </c>
      <c r="CC193" s="5">
        <f>(BV193+BW193/2+BX193/8+BY193/16+BZ193/4+CA193/32)*39</f>
        <v>4.875</v>
      </c>
      <c r="CD193" s="5">
        <v>0</v>
      </c>
      <c r="CE193" s="5">
        <v>0</v>
      </c>
      <c r="CF193" s="5">
        <v>1</v>
      </c>
      <c r="CG193" s="5">
        <v>0</v>
      </c>
      <c r="CH193" s="5">
        <v>0</v>
      </c>
      <c r="CI193" s="5">
        <v>0</v>
      </c>
      <c r="CJ193" s="5">
        <v>0</v>
      </c>
      <c r="CK193" s="5">
        <v>0</v>
      </c>
      <c r="CL193" s="5">
        <f>(CD193+CE193/2+CF193/8+CG193/16+CH193/4+CJ193/32+CK193/16)*39</f>
        <v>4.875</v>
      </c>
      <c r="CM193" s="5">
        <v>0</v>
      </c>
      <c r="CN193" s="5">
        <v>0</v>
      </c>
      <c r="CO193" s="5">
        <v>0</v>
      </c>
      <c r="CP193" s="5">
        <v>0</v>
      </c>
      <c r="CQ193" s="5">
        <v>0</v>
      </c>
      <c r="CS193">
        <f>4/12</f>
        <v>0.33333333333333331</v>
      </c>
      <c r="CT193">
        <v>0</v>
      </c>
      <c r="CU193">
        <v>0</v>
      </c>
      <c r="CV193">
        <v>0</v>
      </c>
      <c r="CW193">
        <f>CS193+CT193/24+CU193/48+CV193/48</f>
        <v>0.33333333333333331</v>
      </c>
      <c r="CX193">
        <v>0</v>
      </c>
      <c r="CZ193" t="s">
        <v>210</v>
      </c>
      <c r="DA193" t="s">
        <v>589</v>
      </c>
      <c r="DB193" t="s">
        <v>405</v>
      </c>
      <c r="DC193" t="s">
        <v>1014</v>
      </c>
      <c r="DD193" t="s">
        <v>693</v>
      </c>
      <c r="DE193" t="s">
        <v>1015</v>
      </c>
      <c r="DF193" t="s">
        <v>1016</v>
      </c>
      <c r="DG193" t="s">
        <v>1017</v>
      </c>
      <c r="DJ193" t="s">
        <v>483</v>
      </c>
    </row>
    <row r="194" spans="1:114" x14ac:dyDescent="0.25">
      <c r="A194">
        <v>862</v>
      </c>
      <c r="B194" t="s">
        <v>788</v>
      </c>
      <c r="C194" t="s">
        <v>11</v>
      </c>
      <c r="D194" t="s">
        <v>1027</v>
      </c>
      <c r="E194" t="s">
        <v>776</v>
      </c>
      <c r="F194" t="s">
        <v>1067</v>
      </c>
      <c r="I194" t="s">
        <v>219</v>
      </c>
      <c r="J194">
        <v>1343</v>
      </c>
      <c r="K194" t="s">
        <v>1038</v>
      </c>
      <c r="L194" s="5">
        <v>29</v>
      </c>
      <c r="M194" s="7" t="s">
        <v>338</v>
      </c>
      <c r="W194" t="s">
        <v>225</v>
      </c>
      <c r="X194" t="s">
        <v>225</v>
      </c>
      <c r="Y194">
        <v>2</v>
      </c>
      <c r="Z194" t="s">
        <v>225</v>
      </c>
      <c r="AA194" t="s">
        <v>225</v>
      </c>
      <c r="AB194" t="s">
        <v>225</v>
      </c>
      <c r="AC194">
        <v>1</v>
      </c>
      <c r="AD194" t="s">
        <v>205</v>
      </c>
      <c r="AE194" t="s">
        <v>225</v>
      </c>
      <c r="AF194" t="s">
        <v>225</v>
      </c>
      <c r="AG194" t="s">
        <v>225</v>
      </c>
      <c r="AH194" t="s">
        <v>225</v>
      </c>
      <c r="AI194" t="s">
        <v>225</v>
      </c>
      <c r="AJ194" t="s">
        <v>225</v>
      </c>
      <c r="AK194" t="s">
        <v>225</v>
      </c>
      <c r="AL194" t="s">
        <v>225</v>
      </c>
      <c r="AM194" t="s">
        <v>225</v>
      </c>
      <c r="AN194" t="s">
        <v>225</v>
      </c>
      <c r="AO194" t="s">
        <v>225</v>
      </c>
      <c r="AP194" t="s">
        <v>225</v>
      </c>
      <c r="AQ194" t="s">
        <v>225</v>
      </c>
      <c r="AR194" t="s">
        <v>225</v>
      </c>
      <c r="AS194" t="s">
        <v>225</v>
      </c>
      <c r="AT194" t="s">
        <v>225</v>
      </c>
      <c r="AU194" t="s">
        <v>225</v>
      </c>
      <c r="AV194" t="s">
        <v>225</v>
      </c>
      <c r="AW194" t="s">
        <v>225</v>
      </c>
      <c r="AX194" t="s">
        <v>225</v>
      </c>
      <c r="AY194" t="s">
        <v>225</v>
      </c>
      <c r="AZ194" t="s">
        <v>225</v>
      </c>
      <c r="BA194" t="s">
        <v>225</v>
      </c>
      <c r="BB194" t="s">
        <v>225</v>
      </c>
      <c r="BC194" t="s">
        <v>225</v>
      </c>
      <c r="BD194" t="s">
        <v>225</v>
      </c>
      <c r="BE194" t="s">
        <v>225</v>
      </c>
      <c r="BF194" t="s">
        <v>225</v>
      </c>
      <c r="BG194" t="s">
        <v>225</v>
      </c>
      <c r="BH194" t="s">
        <v>225</v>
      </c>
      <c r="BI194" t="s">
        <v>225</v>
      </c>
      <c r="BJ194" t="s">
        <v>225</v>
      </c>
      <c r="BK194" t="s">
        <v>225</v>
      </c>
      <c r="BL194" t="s">
        <v>225</v>
      </c>
      <c r="BN194" t="s">
        <v>1073</v>
      </c>
      <c r="BQ194" t="s">
        <v>1455</v>
      </c>
      <c r="BR194" s="5">
        <v>0</v>
      </c>
      <c r="BS194" s="5">
        <v>0</v>
      </c>
      <c r="BT194" s="5">
        <v>0</v>
      </c>
      <c r="BU194" s="5">
        <f>(BS194/8+BT194/4)*39</f>
        <v>0</v>
      </c>
      <c r="BV194" s="5">
        <v>0</v>
      </c>
      <c r="BW194" s="5">
        <v>0</v>
      </c>
      <c r="BX194" s="5">
        <f>1/2</f>
        <v>0.5</v>
      </c>
      <c r="BY194" s="5">
        <v>0</v>
      </c>
      <c r="BZ194" s="5">
        <v>0</v>
      </c>
      <c r="CA194" s="5">
        <v>0</v>
      </c>
      <c r="CB194" s="5">
        <v>0</v>
      </c>
      <c r="CC194" s="5">
        <f>(BV194+BW194/2+BX194/8+BY194/16+BZ194/4+CA194/32)*39</f>
        <v>2.4375</v>
      </c>
      <c r="CD194" s="5">
        <v>0</v>
      </c>
      <c r="CE194" s="5">
        <v>0</v>
      </c>
      <c r="CF194" s="5">
        <f>1/2</f>
        <v>0.5</v>
      </c>
      <c r="CG194" s="5">
        <v>0</v>
      </c>
      <c r="CH194" s="5">
        <v>0</v>
      </c>
      <c r="CI194" s="5">
        <v>0</v>
      </c>
      <c r="CJ194" s="5">
        <v>0</v>
      </c>
      <c r="CK194" s="5">
        <v>0</v>
      </c>
      <c r="CL194" s="5">
        <f>(CD194+CE194/2+CF194/8+CG194/16+CH194/4+CJ194/32+CK194/16)*39</f>
        <v>2.4375</v>
      </c>
      <c r="CM194" s="5">
        <v>0</v>
      </c>
      <c r="CN194" s="5">
        <v>0</v>
      </c>
      <c r="CO194" s="5">
        <v>0</v>
      </c>
      <c r="CP194" s="5">
        <v>0</v>
      </c>
      <c r="CQ194" s="5">
        <v>0</v>
      </c>
      <c r="CS194">
        <v>0</v>
      </c>
      <c r="CT194">
        <v>0</v>
      </c>
      <c r="CU194">
        <v>0</v>
      </c>
      <c r="CV194">
        <v>0</v>
      </c>
      <c r="CW194">
        <f>CS194+CT194/24+CU194/48+CV194/48</f>
        <v>0</v>
      </c>
      <c r="CX194">
        <v>0</v>
      </c>
      <c r="CZ194" t="s">
        <v>210</v>
      </c>
      <c r="DA194" t="s">
        <v>589</v>
      </c>
      <c r="DB194" t="s">
        <v>405</v>
      </c>
      <c r="DC194" t="s">
        <v>1063</v>
      </c>
      <c r="DD194" t="s">
        <v>693</v>
      </c>
      <c r="DE194" t="s">
        <v>1065</v>
      </c>
      <c r="DF194" t="s">
        <v>1066</v>
      </c>
      <c r="DG194" t="s">
        <v>1064</v>
      </c>
    </row>
    <row r="195" spans="1:114" x14ac:dyDescent="0.25">
      <c r="A195">
        <v>1641</v>
      </c>
      <c r="C195" t="s">
        <v>13</v>
      </c>
      <c r="D195" t="s">
        <v>351</v>
      </c>
      <c r="E195" t="s">
        <v>1914</v>
      </c>
      <c r="H195" t="s">
        <v>3808</v>
      </c>
      <c r="I195" t="s">
        <v>219</v>
      </c>
      <c r="J195" s="5">
        <v>1343</v>
      </c>
      <c r="K195" t="s">
        <v>249</v>
      </c>
      <c r="L195">
        <v>4</v>
      </c>
      <c r="M195" s="7" t="s">
        <v>338</v>
      </c>
      <c r="N195" s="8" t="s">
        <v>1691</v>
      </c>
      <c r="V195" t="s">
        <v>1463</v>
      </c>
      <c r="W195" t="s">
        <v>225</v>
      </c>
      <c r="X195">
        <v>2</v>
      </c>
      <c r="Y195">
        <v>2</v>
      </c>
      <c r="Z195" t="s">
        <v>225</v>
      </c>
      <c r="AA195" t="s">
        <v>225</v>
      </c>
      <c r="AB195" t="s">
        <v>225</v>
      </c>
      <c r="AC195" t="s">
        <v>225</v>
      </c>
      <c r="AD195" t="s">
        <v>205</v>
      </c>
      <c r="AE195" t="s">
        <v>225</v>
      </c>
      <c r="AF195" t="s">
        <v>225</v>
      </c>
      <c r="AG195" t="s">
        <v>225</v>
      </c>
      <c r="AH195" t="s">
        <v>225</v>
      </c>
      <c r="AI195" t="s">
        <v>225</v>
      </c>
      <c r="AJ195" t="s">
        <v>225</v>
      </c>
      <c r="AK195" t="s">
        <v>225</v>
      </c>
      <c r="AL195">
        <v>1</v>
      </c>
      <c r="AM195" t="s">
        <v>225</v>
      </c>
      <c r="AN195" t="s">
        <v>225</v>
      </c>
      <c r="AO195" t="s">
        <v>225</v>
      </c>
      <c r="AP195">
        <v>3</v>
      </c>
      <c r="AQ195" t="s">
        <v>225</v>
      </c>
      <c r="AR195" t="s">
        <v>225</v>
      </c>
      <c r="AS195" t="s">
        <v>225</v>
      </c>
      <c r="AT195" t="s">
        <v>225</v>
      </c>
      <c r="AU195">
        <v>1</v>
      </c>
      <c r="AV195" t="s">
        <v>225</v>
      </c>
      <c r="AW195" t="s">
        <v>225</v>
      </c>
      <c r="AX195" t="s">
        <v>225</v>
      </c>
      <c r="AY195" t="s">
        <v>225</v>
      </c>
      <c r="AZ195" t="s">
        <v>225</v>
      </c>
      <c r="BA195" t="s">
        <v>225</v>
      </c>
      <c r="BB195" t="s">
        <v>225</v>
      </c>
      <c r="BC195" t="s">
        <v>225</v>
      </c>
      <c r="BD195" t="s">
        <v>225</v>
      </c>
      <c r="BE195" t="s">
        <v>225</v>
      </c>
      <c r="BF195" t="s">
        <v>225</v>
      </c>
      <c r="BG195" t="s">
        <v>225</v>
      </c>
      <c r="BH195" t="s">
        <v>225</v>
      </c>
      <c r="BI195" t="s">
        <v>225</v>
      </c>
      <c r="BJ195" t="s">
        <v>225</v>
      </c>
      <c r="BK195" t="s">
        <v>225</v>
      </c>
      <c r="BL195" t="s">
        <v>225</v>
      </c>
      <c r="BM195" t="s">
        <v>2937</v>
      </c>
      <c r="BN195" t="s">
        <v>2936</v>
      </c>
      <c r="BQ195" t="s">
        <v>539</v>
      </c>
      <c r="BR195" s="5">
        <v>0</v>
      </c>
      <c r="BS195" s="5">
        <v>0</v>
      </c>
      <c r="BT195" s="5">
        <v>0</v>
      </c>
      <c r="BU195" s="5">
        <f>(BS195/8+BT195/4)*39</f>
        <v>0</v>
      </c>
      <c r="BV195" s="5">
        <v>0</v>
      </c>
      <c r="BW195" s="5">
        <v>1</v>
      </c>
      <c r="BX195" s="5">
        <v>0</v>
      </c>
      <c r="BY195" s="5">
        <v>0</v>
      </c>
      <c r="BZ195" s="5">
        <v>0</v>
      </c>
      <c r="CA195" s="5">
        <v>0</v>
      </c>
      <c r="CB195" s="5">
        <v>0</v>
      </c>
      <c r="CC195" s="5">
        <f>(BV195+BW195/2+BX195/8+BY195/16+BZ195/4+CA195/32)*39</f>
        <v>19.5</v>
      </c>
      <c r="CD195" s="5">
        <v>0</v>
      </c>
      <c r="CE195" s="5">
        <v>0</v>
      </c>
      <c r="CF195" s="5">
        <f>3+1/2</f>
        <v>3.5</v>
      </c>
      <c r="CG195" s="5">
        <v>0</v>
      </c>
      <c r="CH195" s="5">
        <v>0</v>
      </c>
      <c r="CI195" s="5">
        <v>0</v>
      </c>
      <c r="CJ195" s="5">
        <v>0</v>
      </c>
      <c r="CK195" s="5">
        <v>0</v>
      </c>
      <c r="CL195" s="5">
        <f>(CD195+CE195/2+CF195/8+CG195/16+CH195/4+CJ195/32+CK195/16)*39</f>
        <v>17.0625</v>
      </c>
      <c r="CM195" s="5">
        <v>0</v>
      </c>
      <c r="CN195" s="5">
        <v>0</v>
      </c>
      <c r="CO195" s="5">
        <v>0</v>
      </c>
      <c r="CP195" s="5">
        <v>0</v>
      </c>
      <c r="CQ195" s="5">
        <v>0</v>
      </c>
      <c r="CS195">
        <f>14/12</f>
        <v>1.1666666666666667</v>
      </c>
      <c r="CT195">
        <v>1</v>
      </c>
      <c r="CU195">
        <v>0</v>
      </c>
      <c r="CV195">
        <v>0</v>
      </c>
      <c r="CW195">
        <f>CS195+CT195/24+CU195/48+CV195/48</f>
        <v>1.2083333333333335</v>
      </c>
      <c r="CX195">
        <v>0</v>
      </c>
      <c r="CZ195" t="s">
        <v>210</v>
      </c>
      <c r="DA195" t="s">
        <v>1733</v>
      </c>
      <c r="DB195" t="s">
        <v>2859</v>
      </c>
      <c r="DC195" t="s">
        <v>262</v>
      </c>
      <c r="DD195" t="s">
        <v>693</v>
      </c>
      <c r="DE195" t="s">
        <v>1230</v>
      </c>
      <c r="DF195" t="s">
        <v>2906</v>
      </c>
      <c r="DG195" t="s">
        <v>2907</v>
      </c>
    </row>
    <row r="196" spans="1:114" x14ac:dyDescent="0.25">
      <c r="A196">
        <v>511</v>
      </c>
      <c r="C196" t="s">
        <v>250</v>
      </c>
      <c r="D196" t="s">
        <v>548</v>
      </c>
      <c r="E196" t="s">
        <v>549</v>
      </c>
      <c r="H196" t="s">
        <v>582</v>
      </c>
      <c r="I196" t="s">
        <v>219</v>
      </c>
      <c r="J196">
        <v>1343</v>
      </c>
      <c r="K196" t="s">
        <v>249</v>
      </c>
      <c r="L196">
        <v>11</v>
      </c>
      <c r="M196" s="7" t="s">
        <v>338</v>
      </c>
      <c r="N196" t="s">
        <v>236</v>
      </c>
      <c r="O196" t="s">
        <v>201</v>
      </c>
      <c r="P196" t="s">
        <v>225</v>
      </c>
      <c r="Q196" t="s">
        <v>205</v>
      </c>
      <c r="R196" t="s">
        <v>205</v>
      </c>
      <c r="S196" t="s">
        <v>205</v>
      </c>
      <c r="T196" t="s">
        <v>225</v>
      </c>
      <c r="V196" t="s">
        <v>204</v>
      </c>
      <c r="W196">
        <v>1</v>
      </c>
      <c r="X196">
        <v>1</v>
      </c>
      <c r="Y196" t="s">
        <v>205</v>
      </c>
      <c r="Z196" t="s">
        <v>225</v>
      </c>
      <c r="AA196" t="s">
        <v>205</v>
      </c>
      <c r="AB196" t="s">
        <v>205</v>
      </c>
      <c r="AC196" t="s">
        <v>205</v>
      </c>
      <c r="AD196" t="s">
        <v>225</v>
      </c>
      <c r="AE196" t="s">
        <v>225</v>
      </c>
      <c r="AF196" t="s">
        <v>225</v>
      </c>
      <c r="AG196" t="s">
        <v>225</v>
      </c>
      <c r="AH196" t="s">
        <v>225</v>
      </c>
      <c r="AI196" t="s">
        <v>225</v>
      </c>
      <c r="AJ196" t="s">
        <v>225</v>
      </c>
      <c r="AK196" t="s">
        <v>225</v>
      </c>
      <c r="AL196" t="s">
        <v>225</v>
      </c>
      <c r="AM196" t="s">
        <v>225</v>
      </c>
      <c r="AN196" t="s">
        <v>225</v>
      </c>
      <c r="AO196" t="s">
        <v>225</v>
      </c>
      <c r="AP196" t="s">
        <v>225</v>
      </c>
      <c r="AQ196" t="s">
        <v>225</v>
      </c>
      <c r="AR196" t="s">
        <v>225</v>
      </c>
      <c r="AS196" t="s">
        <v>225</v>
      </c>
      <c r="AT196" t="s">
        <v>225</v>
      </c>
      <c r="AU196" t="s">
        <v>225</v>
      </c>
      <c r="AV196" t="s">
        <v>225</v>
      </c>
      <c r="AW196" t="s">
        <v>225</v>
      </c>
      <c r="AX196" t="s">
        <v>225</v>
      </c>
      <c r="AY196" t="s">
        <v>225</v>
      </c>
      <c r="AZ196" t="s">
        <v>225</v>
      </c>
      <c r="BA196" t="s">
        <v>225</v>
      </c>
      <c r="BB196" t="s">
        <v>225</v>
      </c>
      <c r="BC196" t="s">
        <v>225</v>
      </c>
      <c r="BD196" t="s">
        <v>225</v>
      </c>
      <c r="BE196" t="s">
        <v>225</v>
      </c>
      <c r="BF196" t="s">
        <v>225</v>
      </c>
      <c r="BG196" t="s">
        <v>225</v>
      </c>
      <c r="BH196" t="s">
        <v>225</v>
      </c>
      <c r="BI196" t="s">
        <v>225</v>
      </c>
      <c r="BJ196" t="s">
        <v>225</v>
      </c>
      <c r="BK196" t="s">
        <v>225</v>
      </c>
      <c r="BL196" t="s">
        <v>205</v>
      </c>
      <c r="BO196" t="s">
        <v>551</v>
      </c>
      <c r="BP196" t="s">
        <v>550</v>
      </c>
      <c r="BQ196" t="s">
        <v>3561</v>
      </c>
      <c r="BR196">
        <v>1</v>
      </c>
      <c r="BS196">
        <v>0</v>
      </c>
      <c r="BT196">
        <v>0</v>
      </c>
      <c r="BU196" s="5">
        <f>(BS196/8+BT196/4)*39</f>
        <v>0</v>
      </c>
      <c r="BV196">
        <v>0</v>
      </c>
      <c r="BW196" s="5">
        <v>1</v>
      </c>
      <c r="BX196" s="5">
        <v>0</v>
      </c>
      <c r="BY196">
        <v>0</v>
      </c>
      <c r="BZ196">
        <v>0</v>
      </c>
      <c r="CA196">
        <v>0</v>
      </c>
      <c r="CB196">
        <v>0</v>
      </c>
      <c r="CC196" s="5">
        <f>(BV196+BW196/2+BX196/8+BY196/16+BZ196/4+CA196/32)*39</f>
        <v>19.5</v>
      </c>
      <c r="CD196" s="8">
        <v>0</v>
      </c>
      <c r="CE196" s="8">
        <v>0</v>
      </c>
      <c r="CF196">
        <f>1+1/3</f>
        <v>1.3333333333333333</v>
      </c>
      <c r="CG196">
        <v>0</v>
      </c>
      <c r="CH196" s="8">
        <v>0</v>
      </c>
      <c r="CI196">
        <v>0</v>
      </c>
      <c r="CJ196">
        <v>0</v>
      </c>
      <c r="CK196" s="8">
        <v>0</v>
      </c>
      <c r="CL196" s="5">
        <f>(CD196+CE196/2+CF196/8+CG196/16+CH196/4+CJ196/32+CK196/16)*39</f>
        <v>6.5</v>
      </c>
      <c r="CM196">
        <v>0</v>
      </c>
      <c r="CN196">
        <v>0</v>
      </c>
      <c r="CO196">
        <v>0</v>
      </c>
      <c r="CP196" s="8">
        <v>0</v>
      </c>
      <c r="CQ196" s="8">
        <v>0</v>
      </c>
      <c r="CS196">
        <f>3+4/12</f>
        <v>3.3333333333333335</v>
      </c>
      <c r="CT196">
        <v>0</v>
      </c>
      <c r="CU196">
        <v>0</v>
      </c>
      <c r="CV196" s="8">
        <v>0</v>
      </c>
      <c r="CW196">
        <f>CS196+CT196/24+CU196/48+CV196/48</f>
        <v>3.3333333333333335</v>
      </c>
      <c r="CX196">
        <v>0</v>
      </c>
      <c r="CY196" t="s">
        <v>248</v>
      </c>
      <c r="CZ196" t="s">
        <v>210</v>
      </c>
      <c r="DB196" t="s">
        <v>405</v>
      </c>
      <c r="DC196" t="s">
        <v>262</v>
      </c>
      <c r="DD196" t="s">
        <v>693</v>
      </c>
      <c r="DE196" t="s">
        <v>556</v>
      </c>
      <c r="DF196" t="s">
        <v>557</v>
      </c>
      <c r="DJ196" t="s">
        <v>483</v>
      </c>
    </row>
    <row r="197" spans="1:114" x14ac:dyDescent="0.25">
      <c r="A197">
        <v>1821</v>
      </c>
      <c r="C197" t="s">
        <v>107</v>
      </c>
      <c r="D197" t="s">
        <v>3387</v>
      </c>
      <c r="E197" t="s">
        <v>1914</v>
      </c>
      <c r="F197" t="s">
        <v>3339</v>
      </c>
      <c r="G197" t="s">
        <v>3916</v>
      </c>
      <c r="H197" t="s">
        <v>3388</v>
      </c>
      <c r="I197" t="s">
        <v>219</v>
      </c>
      <c r="J197" s="5">
        <v>1344</v>
      </c>
      <c r="K197" s="5" t="s">
        <v>817</v>
      </c>
      <c r="L197" s="6">
        <v>15</v>
      </c>
      <c r="M197" s="7" t="s">
        <v>338</v>
      </c>
      <c r="V197" t="s">
        <v>1463</v>
      </c>
      <c r="W197" t="s">
        <v>225</v>
      </c>
      <c r="X197" t="s">
        <v>225</v>
      </c>
      <c r="Y197" t="s">
        <v>225</v>
      </c>
      <c r="Z197" t="s">
        <v>225</v>
      </c>
      <c r="AA197" t="s">
        <v>205</v>
      </c>
      <c r="AB197" t="s">
        <v>225</v>
      </c>
      <c r="AC197" t="s">
        <v>225</v>
      </c>
      <c r="AD197" t="s">
        <v>225</v>
      </c>
      <c r="AE197" t="s">
        <v>225</v>
      </c>
      <c r="AF197" t="s">
        <v>225</v>
      </c>
      <c r="AG197" t="s">
        <v>225</v>
      </c>
      <c r="AH197" t="s">
        <v>225</v>
      </c>
      <c r="AI197" t="s">
        <v>225</v>
      </c>
      <c r="AJ197" t="s">
        <v>225</v>
      </c>
      <c r="AK197" t="s">
        <v>225</v>
      </c>
      <c r="AL197" t="s">
        <v>225</v>
      </c>
      <c r="AM197" t="s">
        <v>225</v>
      </c>
      <c r="AN197" t="s">
        <v>225</v>
      </c>
      <c r="AO197" t="s">
        <v>225</v>
      </c>
      <c r="AP197" t="s">
        <v>225</v>
      </c>
      <c r="AQ197" t="s">
        <v>225</v>
      </c>
      <c r="AR197" t="s">
        <v>225</v>
      </c>
      <c r="AS197" t="s">
        <v>225</v>
      </c>
      <c r="AT197" t="s">
        <v>225</v>
      </c>
      <c r="AU197" t="s">
        <v>225</v>
      </c>
      <c r="AV197" t="s">
        <v>225</v>
      </c>
      <c r="AW197" t="s">
        <v>225</v>
      </c>
      <c r="AX197" t="s">
        <v>225</v>
      </c>
      <c r="AY197" t="s">
        <v>225</v>
      </c>
      <c r="AZ197" t="s">
        <v>225</v>
      </c>
      <c r="BA197" t="s">
        <v>225</v>
      </c>
      <c r="BB197" t="s">
        <v>225</v>
      </c>
      <c r="BC197" t="s">
        <v>225</v>
      </c>
      <c r="BD197" t="s">
        <v>225</v>
      </c>
      <c r="BE197" t="s">
        <v>225</v>
      </c>
      <c r="BF197" t="s">
        <v>225</v>
      </c>
      <c r="BG197" t="s">
        <v>225</v>
      </c>
      <c r="BH197" t="s">
        <v>225</v>
      </c>
      <c r="BI197" t="s">
        <v>225</v>
      </c>
      <c r="BJ197" t="s">
        <v>225</v>
      </c>
      <c r="BK197" t="s">
        <v>225</v>
      </c>
      <c r="BL197" t="s">
        <v>225</v>
      </c>
      <c r="BN197" t="s">
        <v>3390</v>
      </c>
      <c r="BP197" t="s">
        <v>3389</v>
      </c>
      <c r="BQ197" t="s">
        <v>539</v>
      </c>
      <c r="BR197" s="5">
        <v>0</v>
      </c>
      <c r="BS197" s="5">
        <v>0</v>
      </c>
      <c r="BT197" s="5">
        <v>0</v>
      </c>
      <c r="BU197" s="5">
        <f>(BS197/8+BT197/4)*39</f>
        <v>0</v>
      </c>
      <c r="BV197" s="5">
        <v>0</v>
      </c>
      <c r="BW197" s="5">
        <v>0</v>
      </c>
      <c r="BX197" s="5">
        <v>0</v>
      </c>
      <c r="BY197" s="5">
        <v>0</v>
      </c>
      <c r="BZ197" s="5">
        <v>0</v>
      </c>
      <c r="CA197" s="5">
        <v>0</v>
      </c>
      <c r="CB197" s="5">
        <v>0</v>
      </c>
      <c r="CC197" s="5">
        <f>(BV197+BW197/2+BX197/8+BY197/16+BZ197/4+CA197/32)*39</f>
        <v>0</v>
      </c>
      <c r="CD197" s="5">
        <v>0</v>
      </c>
      <c r="CE197" s="5">
        <v>0</v>
      </c>
      <c r="CF197" s="5">
        <f>1/2</f>
        <v>0.5</v>
      </c>
      <c r="CG197" s="5">
        <v>0</v>
      </c>
      <c r="CH197" s="5">
        <v>0</v>
      </c>
      <c r="CI197" s="5">
        <v>0</v>
      </c>
      <c r="CJ197" s="5">
        <v>0</v>
      </c>
      <c r="CK197" s="5">
        <v>0</v>
      </c>
      <c r="CL197" s="5">
        <f>(CD197+CE197/2+CF197/8+CG197/16+CH197/4+CJ197/32+CK197/16)*39</f>
        <v>2.4375</v>
      </c>
      <c r="CM197" s="5">
        <v>0</v>
      </c>
      <c r="CN197" s="5">
        <v>0</v>
      </c>
      <c r="CO197" s="5">
        <v>0</v>
      </c>
      <c r="CP197" s="5">
        <v>0</v>
      </c>
      <c r="CQ197" s="5">
        <v>0</v>
      </c>
      <c r="CS197">
        <v>0</v>
      </c>
      <c r="CT197">
        <v>0</v>
      </c>
      <c r="CU197">
        <v>0</v>
      </c>
      <c r="CV197">
        <v>0</v>
      </c>
      <c r="CW197">
        <f>CS197+CT197/24+CU197/48+CV197/48</f>
        <v>0</v>
      </c>
      <c r="CX197">
        <v>0</v>
      </c>
      <c r="CZ197" t="s">
        <v>210</v>
      </c>
      <c r="DC197" t="s">
        <v>262</v>
      </c>
      <c r="DD197" t="s">
        <v>693</v>
      </c>
      <c r="DE197" t="s">
        <v>945</v>
      </c>
      <c r="DF197" t="s">
        <v>3410</v>
      </c>
    </row>
    <row r="198" spans="1:114" x14ac:dyDescent="0.25">
      <c r="A198">
        <v>1333</v>
      </c>
      <c r="C198" t="s">
        <v>1850</v>
      </c>
      <c r="D198" t="s">
        <v>1851</v>
      </c>
      <c r="E198" t="s">
        <v>1810</v>
      </c>
      <c r="I198" t="s">
        <v>219</v>
      </c>
      <c r="J198">
        <v>1343</v>
      </c>
      <c r="K198" t="s">
        <v>1097</v>
      </c>
      <c r="L198">
        <v>12</v>
      </c>
      <c r="M198" s="7" t="s">
        <v>338</v>
      </c>
      <c r="W198" t="s">
        <v>225</v>
      </c>
      <c r="X198" t="s">
        <v>225</v>
      </c>
      <c r="Y198" t="s">
        <v>225</v>
      </c>
      <c r="Z198" t="s">
        <v>225</v>
      </c>
      <c r="AA198">
        <f>1/2</f>
        <v>0.5</v>
      </c>
      <c r="AB198" t="s">
        <v>225</v>
      </c>
      <c r="AC198" t="s">
        <v>225</v>
      </c>
      <c r="AD198">
        <f>1/2</f>
        <v>0.5</v>
      </c>
      <c r="AE198" t="s">
        <v>225</v>
      </c>
      <c r="AF198" t="s">
        <v>225</v>
      </c>
      <c r="AG198" t="s">
        <v>225</v>
      </c>
      <c r="AH198" t="s">
        <v>225</v>
      </c>
      <c r="AI198" t="s">
        <v>225</v>
      </c>
      <c r="AJ198" t="s">
        <v>225</v>
      </c>
      <c r="AK198" t="s">
        <v>225</v>
      </c>
      <c r="AL198" t="s">
        <v>225</v>
      </c>
      <c r="AM198" t="s">
        <v>225</v>
      </c>
      <c r="AN198" t="s">
        <v>225</v>
      </c>
      <c r="AO198" t="s">
        <v>225</v>
      </c>
      <c r="AP198">
        <f>1/2</f>
        <v>0.5</v>
      </c>
      <c r="AQ198" t="s">
        <v>225</v>
      </c>
      <c r="AR198" t="s">
        <v>225</v>
      </c>
      <c r="AS198" t="s">
        <v>225</v>
      </c>
      <c r="AT198" t="s">
        <v>225</v>
      </c>
      <c r="AU198" t="s">
        <v>225</v>
      </c>
      <c r="AV198" t="s">
        <v>225</v>
      </c>
      <c r="AW198" t="s">
        <v>225</v>
      </c>
      <c r="AX198" t="s">
        <v>225</v>
      </c>
      <c r="AY198" t="s">
        <v>225</v>
      </c>
      <c r="AZ198" t="s">
        <v>225</v>
      </c>
      <c r="BA198" t="s">
        <v>225</v>
      </c>
      <c r="BB198" t="s">
        <v>225</v>
      </c>
      <c r="BC198" t="s">
        <v>225</v>
      </c>
      <c r="BD198" t="s">
        <v>225</v>
      </c>
      <c r="BE198" t="s">
        <v>225</v>
      </c>
      <c r="BF198" t="s">
        <v>225</v>
      </c>
      <c r="BG198" t="s">
        <v>225</v>
      </c>
      <c r="BH198" t="s">
        <v>225</v>
      </c>
      <c r="BI198" t="s">
        <v>225</v>
      </c>
      <c r="BJ198" t="s">
        <v>225</v>
      </c>
      <c r="BK198" t="s">
        <v>225</v>
      </c>
      <c r="BL198" t="s">
        <v>225</v>
      </c>
      <c r="BM198" t="s">
        <v>1857</v>
      </c>
      <c r="BN198" t="s">
        <v>1869</v>
      </c>
      <c r="BR198" s="5"/>
      <c r="BS198" s="5"/>
      <c r="BT198" s="5"/>
      <c r="BU198" s="5">
        <f>(BS198/8+BT198/4)*39</f>
        <v>0</v>
      </c>
      <c r="BV198" s="5"/>
      <c r="BW198" s="5"/>
      <c r="BX198" s="5"/>
      <c r="BY198" s="5"/>
      <c r="BZ198" s="5"/>
      <c r="CA198" s="5"/>
      <c r="CB198" s="5"/>
      <c r="CC198" s="5">
        <f>(BV198+BW198/2+BX198/8+BY198/16+BZ198/4+CA198/32)*39</f>
        <v>0</v>
      </c>
      <c r="CD198" s="5"/>
      <c r="CE198" s="5"/>
      <c r="CF198" s="5"/>
      <c r="CG198" s="5"/>
      <c r="CH198" s="5"/>
      <c r="CI198" s="5"/>
      <c r="CJ198" s="5"/>
      <c r="CK198" s="5"/>
      <c r="CL198" s="5">
        <f>(CD198+CE198/2+CF198/8+CG198/16+CH198/4+CJ198/32+CK198/16)*39</f>
        <v>0</v>
      </c>
      <c r="CM198" s="5"/>
      <c r="CN198" s="5"/>
      <c r="CO198" s="5"/>
      <c r="CP198" s="5"/>
      <c r="CQ198" s="5"/>
      <c r="CW198">
        <f>CS198+CT198/24+CU198/48+CV198/48</f>
        <v>0</v>
      </c>
      <c r="DC198" s="16" t="s">
        <v>262</v>
      </c>
      <c r="DD198" s="16" t="s">
        <v>693</v>
      </c>
      <c r="DE198" s="5"/>
      <c r="DF198" s="5"/>
      <c r="DG198" s="5"/>
      <c r="DH198" s="5"/>
      <c r="DI198" s="5"/>
    </row>
    <row r="199" spans="1:114" x14ac:dyDescent="0.25">
      <c r="A199">
        <v>301</v>
      </c>
      <c r="C199" t="s">
        <v>315</v>
      </c>
      <c r="D199" t="s">
        <v>316</v>
      </c>
      <c r="E199" t="s">
        <v>85</v>
      </c>
      <c r="I199" t="s">
        <v>219</v>
      </c>
      <c r="J199">
        <v>1343</v>
      </c>
      <c r="K199" t="s">
        <v>249</v>
      </c>
      <c r="L199">
        <v>2</v>
      </c>
      <c r="M199" s="7" t="s">
        <v>338</v>
      </c>
      <c r="P199" t="s">
        <v>225</v>
      </c>
      <c r="Q199" t="s">
        <v>225</v>
      </c>
      <c r="R199" t="s">
        <v>225</v>
      </c>
      <c r="S199" t="s">
        <v>225</v>
      </c>
      <c r="T199" t="s">
        <v>225</v>
      </c>
      <c r="W199" t="s">
        <v>225</v>
      </c>
      <c r="X199" t="s">
        <v>225</v>
      </c>
      <c r="Y199" t="s">
        <v>225</v>
      </c>
      <c r="Z199" t="s">
        <v>205</v>
      </c>
      <c r="AA199" t="s">
        <v>225</v>
      </c>
      <c r="AB199" t="s">
        <v>225</v>
      </c>
      <c r="AC199" t="s">
        <v>205</v>
      </c>
      <c r="AD199" t="s">
        <v>225</v>
      </c>
      <c r="AE199" t="s">
        <v>225</v>
      </c>
      <c r="AF199" t="s">
        <v>225</v>
      </c>
      <c r="AG199" t="s">
        <v>225</v>
      </c>
      <c r="AH199" t="s">
        <v>225</v>
      </c>
      <c r="AI199" t="s">
        <v>355</v>
      </c>
      <c r="AJ199" t="s">
        <v>225</v>
      </c>
      <c r="AK199" t="s">
        <v>225</v>
      </c>
      <c r="AL199" t="s">
        <v>225</v>
      </c>
      <c r="AM199" t="s">
        <v>225</v>
      </c>
      <c r="AN199" t="s">
        <v>225</v>
      </c>
      <c r="AO199" t="s">
        <v>225</v>
      </c>
      <c r="AP199" t="s">
        <v>225</v>
      </c>
      <c r="AQ199" t="s">
        <v>225</v>
      </c>
      <c r="AR199" t="s">
        <v>225</v>
      </c>
      <c r="AS199" t="s">
        <v>225</v>
      </c>
      <c r="AT199" t="s">
        <v>225</v>
      </c>
      <c r="AU199" t="s">
        <v>225</v>
      </c>
      <c r="AV199" t="s">
        <v>225</v>
      </c>
      <c r="AW199" t="s">
        <v>225</v>
      </c>
      <c r="AX199" t="s">
        <v>225</v>
      </c>
      <c r="AY199" t="s">
        <v>225</v>
      </c>
      <c r="AZ199" t="s">
        <v>225</v>
      </c>
      <c r="BA199" t="s">
        <v>225</v>
      </c>
      <c r="BB199" t="s">
        <v>225</v>
      </c>
      <c r="BC199" t="s">
        <v>225</v>
      </c>
      <c r="BD199" t="s">
        <v>225</v>
      </c>
      <c r="BE199" t="s">
        <v>225</v>
      </c>
      <c r="BF199" t="s">
        <v>225</v>
      </c>
      <c r="BG199" t="s">
        <v>225</v>
      </c>
      <c r="BH199" t="s">
        <v>225</v>
      </c>
      <c r="BI199" t="s">
        <v>225</v>
      </c>
      <c r="BJ199" t="s">
        <v>225</v>
      </c>
      <c r="BK199" t="s">
        <v>225</v>
      </c>
      <c r="BL199" t="s">
        <v>225</v>
      </c>
      <c r="BN199" t="s">
        <v>339</v>
      </c>
      <c r="BQ199" t="s">
        <v>3563</v>
      </c>
      <c r="BR199">
        <v>0</v>
      </c>
      <c r="BS199">
        <v>0</v>
      </c>
      <c r="BT199">
        <v>0</v>
      </c>
      <c r="BU199" s="5">
        <f>(BS199/8+BT199/4)*39</f>
        <v>0</v>
      </c>
      <c r="BV199">
        <v>0</v>
      </c>
      <c r="BW199">
        <v>0</v>
      </c>
      <c r="BX199">
        <v>0</v>
      </c>
      <c r="BY199">
        <v>0</v>
      </c>
      <c r="BZ199">
        <v>0</v>
      </c>
      <c r="CA199">
        <v>0</v>
      </c>
      <c r="CB199">
        <v>0</v>
      </c>
      <c r="CC199" s="5">
        <f>(BV199+BW199/2+BX199/8+BY199/16+BZ199/4+CA199/32)*39</f>
        <v>0</v>
      </c>
      <c r="CD199">
        <v>0</v>
      </c>
      <c r="CE199">
        <v>0</v>
      </c>
      <c r="CF199">
        <v>1</v>
      </c>
      <c r="CG199">
        <v>0</v>
      </c>
      <c r="CH199">
        <v>0</v>
      </c>
      <c r="CI199">
        <v>0</v>
      </c>
      <c r="CJ199">
        <v>0</v>
      </c>
      <c r="CK199">
        <v>0</v>
      </c>
      <c r="CL199" s="5">
        <f>(CD199+CE199/2+CF199/8+CG199/16+CH199/4+CJ199/32+CK199/16)*39</f>
        <v>4.875</v>
      </c>
      <c r="CM199">
        <v>0</v>
      </c>
      <c r="CN199">
        <v>0</v>
      </c>
      <c r="CO199">
        <v>0</v>
      </c>
      <c r="CP199">
        <v>0</v>
      </c>
      <c r="CQ199">
        <v>0</v>
      </c>
      <c r="CR199" t="s">
        <v>340</v>
      </c>
      <c r="CS199">
        <f>1/3</f>
        <v>0.33333333333333331</v>
      </c>
      <c r="CT199" s="11">
        <v>0</v>
      </c>
      <c r="CU199" s="11">
        <v>3.5</v>
      </c>
      <c r="CV199">
        <v>0</v>
      </c>
      <c r="CW199">
        <f>CS199+CT199/24+CU199/48+CV199/48</f>
        <v>0.40625</v>
      </c>
      <c r="CX199">
        <v>0</v>
      </c>
      <c r="CZ199" t="s">
        <v>210</v>
      </c>
      <c r="DA199" t="s">
        <v>229</v>
      </c>
      <c r="DB199" t="s">
        <v>261</v>
      </c>
      <c r="DC199" t="s">
        <v>262</v>
      </c>
      <c r="DD199" t="s">
        <v>693</v>
      </c>
      <c r="DE199" t="s">
        <v>335</v>
      </c>
      <c r="DF199" t="s">
        <v>336</v>
      </c>
      <c r="DG199" t="s">
        <v>337</v>
      </c>
    </row>
    <row r="200" spans="1:114" x14ac:dyDescent="0.25">
      <c r="A200">
        <v>1731</v>
      </c>
      <c r="C200" t="s">
        <v>104</v>
      </c>
      <c r="D200" t="s">
        <v>3268</v>
      </c>
      <c r="E200" t="s">
        <v>3267</v>
      </c>
      <c r="I200" t="s">
        <v>219</v>
      </c>
      <c r="J200" s="5">
        <v>1343</v>
      </c>
      <c r="K200" t="s">
        <v>383</v>
      </c>
      <c r="L200" s="5">
        <v>8</v>
      </c>
      <c r="M200" s="7" t="s">
        <v>338</v>
      </c>
      <c r="N200" t="s">
        <v>236</v>
      </c>
      <c r="P200" t="s">
        <v>225</v>
      </c>
      <c r="Q200" t="s">
        <v>205</v>
      </c>
      <c r="R200" t="s">
        <v>205</v>
      </c>
      <c r="S200" t="s">
        <v>205</v>
      </c>
      <c r="T200" t="s">
        <v>225</v>
      </c>
      <c r="V200" t="s">
        <v>1463</v>
      </c>
      <c r="W200">
        <v>1</v>
      </c>
      <c r="X200">
        <v>2</v>
      </c>
      <c r="Y200">
        <v>1</v>
      </c>
      <c r="Z200" t="s">
        <v>225</v>
      </c>
      <c r="AA200" t="s">
        <v>225</v>
      </c>
      <c r="AB200" t="s">
        <v>225</v>
      </c>
      <c r="AC200" t="s">
        <v>225</v>
      </c>
      <c r="AD200" t="s">
        <v>225</v>
      </c>
      <c r="AE200" t="s">
        <v>225</v>
      </c>
      <c r="AF200" t="s">
        <v>225</v>
      </c>
      <c r="AG200" t="s">
        <v>225</v>
      </c>
      <c r="AH200" t="s">
        <v>225</v>
      </c>
      <c r="AI200" t="s">
        <v>225</v>
      </c>
      <c r="AJ200" t="s">
        <v>225</v>
      </c>
      <c r="AK200" t="s">
        <v>225</v>
      </c>
      <c r="AL200" t="s">
        <v>225</v>
      </c>
      <c r="AM200" t="s">
        <v>225</v>
      </c>
      <c r="AN200" t="s">
        <v>225</v>
      </c>
      <c r="AO200" t="s">
        <v>225</v>
      </c>
      <c r="AP200">
        <v>5</v>
      </c>
      <c r="AQ200" t="s">
        <v>225</v>
      </c>
      <c r="AR200" t="s">
        <v>225</v>
      </c>
      <c r="AS200" t="s">
        <v>225</v>
      </c>
      <c r="AT200" t="s">
        <v>225</v>
      </c>
      <c r="AU200" t="s">
        <v>225</v>
      </c>
      <c r="AV200" t="s">
        <v>225</v>
      </c>
      <c r="AW200" t="s">
        <v>225</v>
      </c>
      <c r="AX200" t="s">
        <v>225</v>
      </c>
      <c r="AY200" t="s">
        <v>225</v>
      </c>
      <c r="AZ200" t="s">
        <v>225</v>
      </c>
      <c r="BA200" t="s">
        <v>225</v>
      </c>
      <c r="BB200" t="s">
        <v>225</v>
      </c>
      <c r="BC200" t="s">
        <v>225</v>
      </c>
      <c r="BD200" t="s">
        <v>225</v>
      </c>
      <c r="BE200" t="s">
        <v>225</v>
      </c>
      <c r="BF200" t="s">
        <v>225</v>
      </c>
      <c r="BG200" t="s">
        <v>225</v>
      </c>
      <c r="BH200" t="s">
        <v>225</v>
      </c>
      <c r="BI200" t="s">
        <v>225</v>
      </c>
      <c r="BJ200" t="s">
        <v>225</v>
      </c>
      <c r="BK200" t="s">
        <v>225</v>
      </c>
      <c r="BL200" t="s">
        <v>225</v>
      </c>
      <c r="BN200" t="s">
        <v>3113</v>
      </c>
      <c r="BQ200" t="s">
        <v>3561</v>
      </c>
      <c r="BR200" s="5">
        <f>1/2</f>
        <v>0.5</v>
      </c>
      <c r="BS200" s="5">
        <v>0</v>
      </c>
      <c r="BT200" s="5">
        <v>0</v>
      </c>
      <c r="BU200" s="5">
        <f>(BS200/8+BT200/4)*39</f>
        <v>0</v>
      </c>
      <c r="BV200" s="5">
        <v>0</v>
      </c>
      <c r="BW200" s="5">
        <v>0</v>
      </c>
      <c r="BX200" s="5">
        <f>1+1/6</f>
        <v>1.1666666666666667</v>
      </c>
      <c r="BY200" s="5">
        <v>0</v>
      </c>
      <c r="BZ200" s="5">
        <v>0</v>
      </c>
      <c r="CA200" s="5">
        <v>0</v>
      </c>
      <c r="CB200" s="5">
        <v>0</v>
      </c>
      <c r="CC200" s="5">
        <f>(BV200+BW200/2+BX200/8+BY200/16+BZ200/4+CA200/32)*39</f>
        <v>5.6875</v>
      </c>
      <c r="CD200" s="5">
        <v>0</v>
      </c>
      <c r="CE200" s="5">
        <v>0</v>
      </c>
      <c r="CF200" s="5">
        <f>1+1/6</f>
        <v>1.1666666666666667</v>
      </c>
      <c r="CG200" s="5">
        <v>0</v>
      </c>
      <c r="CH200" s="5">
        <v>0</v>
      </c>
      <c r="CI200" s="5">
        <v>0</v>
      </c>
      <c r="CJ200" s="5">
        <v>0</v>
      </c>
      <c r="CK200" s="5">
        <v>0</v>
      </c>
      <c r="CL200" s="5">
        <f>(CD200+CE200/2+CF200/8+CG200/16+CH200/4+CJ200/32+CK200/16)*39</f>
        <v>5.6875</v>
      </c>
      <c r="CM200" s="5">
        <v>0</v>
      </c>
      <c r="CN200" s="5">
        <v>0</v>
      </c>
      <c r="CO200" s="5">
        <v>0</v>
      </c>
      <c r="CP200" s="5">
        <v>0</v>
      </c>
      <c r="CQ200" s="5">
        <v>0</v>
      </c>
      <c r="CS200">
        <f>12/12</f>
        <v>1</v>
      </c>
      <c r="CT200">
        <v>0</v>
      </c>
      <c r="CU200">
        <v>0</v>
      </c>
      <c r="CV200">
        <v>0</v>
      </c>
      <c r="CW200">
        <f>CS200+CT200/24+CU200/48+CV200/48</f>
        <v>1</v>
      </c>
      <c r="CX200">
        <v>0</v>
      </c>
      <c r="CY200" t="s">
        <v>3114</v>
      </c>
      <c r="CZ200" t="s">
        <v>210</v>
      </c>
      <c r="DC200" t="s">
        <v>262</v>
      </c>
      <c r="DD200" t="s">
        <v>693</v>
      </c>
      <c r="DE200" t="s">
        <v>3115</v>
      </c>
      <c r="DF200" t="s">
        <v>3116</v>
      </c>
    </row>
    <row r="201" spans="1:114" x14ac:dyDescent="0.25">
      <c r="A201">
        <v>1762</v>
      </c>
      <c r="C201" t="s">
        <v>19</v>
      </c>
      <c r="D201" t="s">
        <v>177</v>
      </c>
      <c r="E201" t="s">
        <v>1914</v>
      </c>
      <c r="G201" t="s">
        <v>3203</v>
      </c>
      <c r="I201" t="s">
        <v>219</v>
      </c>
      <c r="J201" s="5">
        <v>1343</v>
      </c>
      <c r="K201" t="s">
        <v>1097</v>
      </c>
      <c r="L201">
        <v>1</v>
      </c>
      <c r="M201" s="7" t="s">
        <v>338</v>
      </c>
      <c r="V201" t="s">
        <v>1463</v>
      </c>
      <c r="W201" t="s">
        <v>225</v>
      </c>
      <c r="X201" t="s">
        <v>225</v>
      </c>
      <c r="Y201">
        <v>2</v>
      </c>
      <c r="Z201" t="s">
        <v>225</v>
      </c>
      <c r="AA201" t="s">
        <v>225</v>
      </c>
      <c r="AB201" t="s">
        <v>225</v>
      </c>
      <c r="AC201" t="s">
        <v>225</v>
      </c>
      <c r="AD201" t="s">
        <v>225</v>
      </c>
      <c r="AE201" t="s">
        <v>225</v>
      </c>
      <c r="AF201" t="s">
        <v>225</v>
      </c>
      <c r="AG201" t="s">
        <v>225</v>
      </c>
      <c r="AH201" t="s">
        <v>225</v>
      </c>
      <c r="AI201" t="s">
        <v>225</v>
      </c>
      <c r="AJ201" t="s">
        <v>225</v>
      </c>
      <c r="AK201" t="s">
        <v>225</v>
      </c>
      <c r="AL201" t="s">
        <v>225</v>
      </c>
      <c r="AM201" t="s">
        <v>225</v>
      </c>
      <c r="AN201" t="s">
        <v>225</v>
      </c>
      <c r="AO201" t="s">
        <v>225</v>
      </c>
      <c r="AP201" t="s">
        <v>225</v>
      </c>
      <c r="AQ201" t="s">
        <v>225</v>
      </c>
      <c r="AR201" t="s">
        <v>225</v>
      </c>
      <c r="AS201" t="s">
        <v>225</v>
      </c>
      <c r="AT201" t="s">
        <v>225</v>
      </c>
      <c r="AU201" t="s">
        <v>225</v>
      </c>
      <c r="AV201" t="s">
        <v>225</v>
      </c>
      <c r="AW201" t="s">
        <v>225</v>
      </c>
      <c r="AX201" t="s">
        <v>225</v>
      </c>
      <c r="AY201" t="s">
        <v>225</v>
      </c>
      <c r="AZ201" t="s">
        <v>225</v>
      </c>
      <c r="BA201" t="s">
        <v>225</v>
      </c>
      <c r="BB201" t="s">
        <v>225</v>
      </c>
      <c r="BC201" t="s">
        <v>225</v>
      </c>
      <c r="BD201" t="s">
        <v>225</v>
      </c>
      <c r="BE201" t="s">
        <v>225</v>
      </c>
      <c r="BF201" t="s">
        <v>225</v>
      </c>
      <c r="BG201" t="s">
        <v>225</v>
      </c>
      <c r="BH201" t="s">
        <v>225</v>
      </c>
      <c r="BI201" t="s">
        <v>225</v>
      </c>
      <c r="BJ201" t="s">
        <v>225</v>
      </c>
      <c r="BK201" t="s">
        <v>225</v>
      </c>
      <c r="BL201" t="s">
        <v>225</v>
      </c>
      <c r="BN201" t="s">
        <v>2521</v>
      </c>
      <c r="BR201" s="5">
        <v>0</v>
      </c>
      <c r="BS201" s="5">
        <v>0</v>
      </c>
      <c r="BT201" s="5">
        <v>0</v>
      </c>
      <c r="BU201" s="5">
        <f>(BS201/8+BT201/4)*39</f>
        <v>0</v>
      </c>
      <c r="BV201" s="5">
        <v>0</v>
      </c>
      <c r="BW201" s="5">
        <v>0</v>
      </c>
      <c r="BX201" s="5">
        <v>0</v>
      </c>
      <c r="BY201" s="5">
        <v>0</v>
      </c>
      <c r="BZ201" s="5">
        <v>0</v>
      </c>
      <c r="CA201" s="5">
        <v>0</v>
      </c>
      <c r="CB201" s="5">
        <v>0</v>
      </c>
      <c r="CC201" s="5">
        <f>(BV201+BW201/2+BX201/8+BY201/16+BZ201/4+CA201/32)*39</f>
        <v>0</v>
      </c>
      <c r="CD201" s="5">
        <v>0</v>
      </c>
      <c r="CE201" s="5">
        <v>0</v>
      </c>
      <c r="CF201" s="5">
        <v>0</v>
      </c>
      <c r="CG201" s="5">
        <v>0</v>
      </c>
      <c r="CH201" s="5">
        <v>0</v>
      </c>
      <c r="CI201" s="5">
        <v>0</v>
      </c>
      <c r="CJ201" s="5">
        <v>0</v>
      </c>
      <c r="CK201" s="5">
        <v>0</v>
      </c>
      <c r="CL201" s="5">
        <f>(CD201+CE201/2+CF201/8+CG201/16+CH201/4+CJ201/32+CK201/16)*39</f>
        <v>0</v>
      </c>
      <c r="CM201" s="5">
        <v>0</v>
      </c>
      <c r="CN201" s="5">
        <v>0</v>
      </c>
      <c r="CO201" s="5">
        <v>0</v>
      </c>
      <c r="CP201" s="5">
        <v>0</v>
      </c>
      <c r="CQ201" s="5">
        <v>0</v>
      </c>
      <c r="CR201" t="s">
        <v>2521</v>
      </c>
      <c r="CS201">
        <f>6/12+12/12</f>
        <v>1.5</v>
      </c>
      <c r="CT201">
        <v>0</v>
      </c>
      <c r="CU201">
        <v>0</v>
      </c>
      <c r="CV201">
        <v>0</v>
      </c>
      <c r="CW201">
        <f>CS201+CT201/24+CU201/48+CV201/48</f>
        <v>1.5</v>
      </c>
      <c r="CX201">
        <v>0</v>
      </c>
      <c r="CZ201" t="s">
        <v>210</v>
      </c>
      <c r="DA201" t="s">
        <v>3211</v>
      </c>
      <c r="DB201" t="s">
        <v>3210</v>
      </c>
      <c r="DC201" t="s">
        <v>3212</v>
      </c>
      <c r="DD201" t="s">
        <v>693</v>
      </c>
      <c r="DE201" t="s">
        <v>3213</v>
      </c>
      <c r="DF201" t="s">
        <v>3214</v>
      </c>
      <c r="DG201" t="s">
        <v>3215</v>
      </c>
    </row>
    <row r="202" spans="1:114" x14ac:dyDescent="0.25">
      <c r="A202">
        <v>1181</v>
      </c>
      <c r="C202" t="s">
        <v>13</v>
      </c>
      <c r="D202" t="s">
        <v>1581</v>
      </c>
      <c r="E202" t="s">
        <v>1582</v>
      </c>
      <c r="I202" t="s">
        <v>219</v>
      </c>
      <c r="J202">
        <v>1344</v>
      </c>
      <c r="K202" t="s">
        <v>817</v>
      </c>
      <c r="L202">
        <v>4</v>
      </c>
      <c r="M202" s="7" t="s">
        <v>338</v>
      </c>
      <c r="V202" t="s">
        <v>1463</v>
      </c>
      <c r="W202" t="s">
        <v>225</v>
      </c>
      <c r="X202" t="s">
        <v>225</v>
      </c>
      <c r="Y202" s="5">
        <v>1</v>
      </c>
      <c r="Z202" s="5" t="s">
        <v>225</v>
      </c>
      <c r="AA202" s="5" t="s">
        <v>225</v>
      </c>
      <c r="AB202" s="5" t="s">
        <v>225</v>
      </c>
      <c r="AC202" s="5" t="s">
        <v>225</v>
      </c>
      <c r="AD202" s="5" t="s">
        <v>225</v>
      </c>
      <c r="AE202" s="5" t="s">
        <v>225</v>
      </c>
      <c r="AF202" s="5" t="s">
        <v>225</v>
      </c>
      <c r="AG202" s="5" t="s">
        <v>225</v>
      </c>
      <c r="AH202" s="5" t="s">
        <v>225</v>
      </c>
      <c r="AI202" s="5" t="s">
        <v>225</v>
      </c>
      <c r="AJ202" s="5" t="s">
        <v>225</v>
      </c>
      <c r="AK202" s="5" t="s">
        <v>225</v>
      </c>
      <c r="AL202" s="5" t="s">
        <v>225</v>
      </c>
      <c r="AM202" s="5" t="s">
        <v>225</v>
      </c>
      <c r="AN202" s="5" t="s">
        <v>225</v>
      </c>
      <c r="AO202" s="5" t="s">
        <v>225</v>
      </c>
      <c r="AP202" s="5" t="s">
        <v>225</v>
      </c>
      <c r="AQ202" s="5" t="s">
        <v>225</v>
      </c>
      <c r="AR202" s="5" t="s">
        <v>225</v>
      </c>
      <c r="AS202" s="5" t="s">
        <v>225</v>
      </c>
      <c r="AT202" s="5" t="s">
        <v>225</v>
      </c>
      <c r="AU202" s="5" t="s">
        <v>225</v>
      </c>
      <c r="AV202" s="5" t="s">
        <v>225</v>
      </c>
      <c r="AW202" s="5" t="s">
        <v>225</v>
      </c>
      <c r="AX202" t="s">
        <v>225</v>
      </c>
      <c r="AY202" t="s">
        <v>225</v>
      </c>
      <c r="AZ202" t="s">
        <v>225</v>
      </c>
      <c r="BA202" t="s">
        <v>225</v>
      </c>
      <c r="BB202" t="s">
        <v>225</v>
      </c>
      <c r="BC202" t="s">
        <v>225</v>
      </c>
      <c r="BD202" t="s">
        <v>225</v>
      </c>
      <c r="BE202" t="s">
        <v>225</v>
      </c>
      <c r="BF202" t="s">
        <v>225</v>
      </c>
      <c r="BG202" t="s">
        <v>225</v>
      </c>
      <c r="BH202" t="s">
        <v>225</v>
      </c>
      <c r="BI202" t="s">
        <v>225</v>
      </c>
      <c r="BJ202" t="s">
        <v>225</v>
      </c>
      <c r="BK202" t="s">
        <v>225</v>
      </c>
      <c r="BL202" s="5" t="s">
        <v>225</v>
      </c>
      <c r="BN202" s="5" t="s">
        <v>398</v>
      </c>
      <c r="BR202" s="5">
        <v>0</v>
      </c>
      <c r="BS202" s="5">
        <v>0</v>
      </c>
      <c r="BT202" s="5">
        <v>0</v>
      </c>
      <c r="BU202" s="5">
        <f>(BS202/8+BT202/4)*39</f>
        <v>0</v>
      </c>
      <c r="BV202" s="5">
        <v>0</v>
      </c>
      <c r="BW202" s="5">
        <v>0</v>
      </c>
      <c r="BX202" s="5">
        <v>0</v>
      </c>
      <c r="BY202" s="5">
        <v>0</v>
      </c>
      <c r="BZ202" s="5">
        <v>0</v>
      </c>
      <c r="CA202" s="5">
        <v>0</v>
      </c>
      <c r="CB202" s="5">
        <v>0</v>
      </c>
      <c r="CC202" s="5">
        <f>(BV202+BW202/2+BX202/8+BY202/16+BZ202/4+CA202/32)*39</f>
        <v>0</v>
      </c>
      <c r="CD202" s="5">
        <v>0</v>
      </c>
      <c r="CE202" s="5">
        <v>0</v>
      </c>
      <c r="CF202" s="5">
        <v>0</v>
      </c>
      <c r="CG202" s="5">
        <v>0</v>
      </c>
      <c r="CH202" s="5">
        <v>0</v>
      </c>
      <c r="CI202" s="5">
        <v>0</v>
      </c>
      <c r="CJ202" s="5">
        <v>0</v>
      </c>
      <c r="CK202" s="5">
        <v>0</v>
      </c>
      <c r="CL202" s="5">
        <f>(CD202+CE202/2+CF202/8+CG202/16+CH202/4+CJ202/32+CK202/16)*39</f>
        <v>0</v>
      </c>
      <c r="CM202" s="5">
        <v>0</v>
      </c>
      <c r="CN202" s="5">
        <v>0</v>
      </c>
      <c r="CO202" s="5">
        <v>0</v>
      </c>
      <c r="CP202" s="5">
        <v>0</v>
      </c>
      <c r="CQ202" s="5">
        <v>0</v>
      </c>
      <c r="CR202" t="s">
        <v>398</v>
      </c>
      <c r="CS202">
        <f>3/12</f>
        <v>0.25</v>
      </c>
      <c r="CT202">
        <v>0</v>
      </c>
      <c r="CU202">
        <v>1</v>
      </c>
      <c r="CV202">
        <v>0</v>
      </c>
      <c r="CW202">
        <f>CS202+CT202/24+CU202/48+CV202/48</f>
        <v>0.27083333333333331</v>
      </c>
      <c r="CX202">
        <v>0</v>
      </c>
      <c r="CZ202" t="s">
        <v>210</v>
      </c>
      <c r="DA202" t="s">
        <v>1359</v>
      </c>
      <c r="DB202" t="s">
        <v>405</v>
      </c>
      <c r="DC202" t="s">
        <v>262</v>
      </c>
      <c r="DD202" t="s">
        <v>693</v>
      </c>
      <c r="DE202" t="s">
        <v>1593</v>
      </c>
      <c r="DF202" t="s">
        <v>1594</v>
      </c>
      <c r="DJ202" t="s">
        <v>1798</v>
      </c>
    </row>
    <row r="203" spans="1:114" x14ac:dyDescent="0.25">
      <c r="A203">
        <v>1342</v>
      </c>
      <c r="B203" t="s">
        <v>1708</v>
      </c>
      <c r="C203" t="s">
        <v>465</v>
      </c>
      <c r="D203" t="s">
        <v>1873</v>
      </c>
      <c r="E203" t="s">
        <v>1810</v>
      </c>
      <c r="H203" t="s">
        <v>3949</v>
      </c>
      <c r="I203" t="s">
        <v>219</v>
      </c>
      <c r="J203">
        <v>1343</v>
      </c>
      <c r="K203" t="s">
        <v>1097</v>
      </c>
      <c r="L203">
        <v>12</v>
      </c>
      <c r="M203" s="7" t="s">
        <v>338</v>
      </c>
      <c r="N203" t="s">
        <v>1908</v>
      </c>
      <c r="P203" t="s">
        <v>225</v>
      </c>
      <c r="Q203" t="s">
        <v>205</v>
      </c>
      <c r="R203" t="s">
        <v>205</v>
      </c>
      <c r="S203" t="s">
        <v>205</v>
      </c>
      <c r="T203" t="s">
        <v>225</v>
      </c>
      <c r="U203" t="s">
        <v>277</v>
      </c>
      <c r="W203" t="s">
        <v>225</v>
      </c>
      <c r="X203">
        <v>1</v>
      </c>
      <c r="Y203">
        <v>2</v>
      </c>
      <c r="Z203" t="s">
        <v>225</v>
      </c>
      <c r="AA203">
        <v>2</v>
      </c>
      <c r="AB203" t="s">
        <v>225</v>
      </c>
      <c r="AC203" t="s">
        <v>225</v>
      </c>
      <c r="AD203" t="s">
        <v>225</v>
      </c>
      <c r="AE203" t="s">
        <v>225</v>
      </c>
      <c r="AF203" t="s">
        <v>225</v>
      </c>
      <c r="AG203" t="s">
        <v>225</v>
      </c>
      <c r="AH203" t="s">
        <v>225</v>
      </c>
      <c r="AI203" t="s">
        <v>225</v>
      </c>
      <c r="AJ203" t="s">
        <v>225</v>
      </c>
      <c r="AK203" t="s">
        <v>225</v>
      </c>
      <c r="AL203" t="s">
        <v>225</v>
      </c>
      <c r="AM203" t="s">
        <v>225</v>
      </c>
      <c r="AN203" t="s">
        <v>205</v>
      </c>
      <c r="AO203" t="s">
        <v>225</v>
      </c>
      <c r="AP203" t="s">
        <v>205</v>
      </c>
      <c r="AQ203" t="s">
        <v>225</v>
      </c>
      <c r="AR203" t="s">
        <v>225</v>
      </c>
      <c r="AS203" t="s">
        <v>225</v>
      </c>
      <c r="AT203" t="s">
        <v>225</v>
      </c>
      <c r="AU203" t="s">
        <v>225</v>
      </c>
      <c r="AV203" t="s">
        <v>225</v>
      </c>
      <c r="AW203" t="s">
        <v>225</v>
      </c>
      <c r="AX203" t="s">
        <v>225</v>
      </c>
      <c r="AY203" t="s">
        <v>225</v>
      </c>
      <c r="AZ203" t="s">
        <v>225</v>
      </c>
      <c r="BA203" t="s">
        <v>225</v>
      </c>
      <c r="BB203" t="s">
        <v>225</v>
      </c>
      <c r="BC203" t="s">
        <v>225</v>
      </c>
      <c r="BD203" t="s">
        <v>225</v>
      </c>
      <c r="BE203" t="s">
        <v>225</v>
      </c>
      <c r="BF203" t="s">
        <v>225</v>
      </c>
      <c r="BG203" t="s">
        <v>225</v>
      </c>
      <c r="BH203" t="s">
        <v>225</v>
      </c>
      <c r="BI203" t="s">
        <v>225</v>
      </c>
      <c r="BJ203" t="s">
        <v>225</v>
      </c>
      <c r="BK203" t="s">
        <v>225</v>
      </c>
      <c r="BL203" t="s">
        <v>225</v>
      </c>
      <c r="BN203" t="s">
        <v>3950</v>
      </c>
      <c r="BP203" t="s">
        <v>1909</v>
      </c>
      <c r="BQ203" t="s">
        <v>539</v>
      </c>
      <c r="BR203" s="5">
        <v>1</v>
      </c>
      <c r="BS203" s="5">
        <v>0</v>
      </c>
      <c r="BT203" s="5">
        <v>0</v>
      </c>
      <c r="BU203" s="5">
        <f>(BS203/8+BT203/4)*39</f>
        <v>0</v>
      </c>
      <c r="BV203" s="5">
        <v>0</v>
      </c>
      <c r="BW203" s="5">
        <v>0</v>
      </c>
      <c r="BX203" s="5">
        <v>1</v>
      </c>
      <c r="BY203" s="5">
        <v>0</v>
      </c>
      <c r="BZ203" s="5">
        <v>0</v>
      </c>
      <c r="CA203" s="5">
        <v>1</v>
      </c>
      <c r="CB203" s="5">
        <v>0</v>
      </c>
      <c r="CC203" s="5">
        <f>(BV203+BW203/2+BX203/8+BY203/16+BZ203/4+CA203/32)*39</f>
        <v>6.09375</v>
      </c>
      <c r="CD203" s="5">
        <v>0</v>
      </c>
      <c r="CE203" s="5">
        <v>0</v>
      </c>
      <c r="CF203" s="5">
        <v>0</v>
      </c>
      <c r="CG203" s="5">
        <v>1</v>
      </c>
      <c r="CH203" s="5">
        <v>0</v>
      </c>
      <c r="CI203" s="5">
        <v>0</v>
      </c>
      <c r="CJ203" s="5">
        <v>0</v>
      </c>
      <c r="CK203" s="5">
        <v>0</v>
      </c>
      <c r="CL203" s="5">
        <f>(CD203+CE203/2+CF203/8+CG203/16+CH203/4+CJ203/32+CK203/16)*39</f>
        <v>2.4375</v>
      </c>
      <c r="CM203" s="5">
        <v>0</v>
      </c>
      <c r="CN203" s="5">
        <v>0</v>
      </c>
      <c r="CO203" s="5">
        <v>0</v>
      </c>
      <c r="CP203" s="5">
        <v>0</v>
      </c>
      <c r="CQ203" s="5">
        <v>0</v>
      </c>
      <c r="CR203" t="s">
        <v>1870</v>
      </c>
      <c r="CS203">
        <f>4+3/12+2/12</f>
        <v>4.416666666666667</v>
      </c>
      <c r="CT203">
        <v>0</v>
      </c>
      <c r="CU203">
        <v>0</v>
      </c>
      <c r="CV203">
        <v>1</v>
      </c>
      <c r="CW203">
        <f>CS203+CT203/24+CU203/48+CV203/48</f>
        <v>4.4375</v>
      </c>
      <c r="CX203">
        <v>0</v>
      </c>
      <c r="CY203" t="s">
        <v>248</v>
      </c>
      <c r="CZ203" t="s">
        <v>210</v>
      </c>
      <c r="DA203" t="s">
        <v>1733</v>
      </c>
      <c r="DB203" t="s">
        <v>1885</v>
      </c>
      <c r="DC203" t="s">
        <v>262</v>
      </c>
      <c r="DD203" t="s">
        <v>693</v>
      </c>
      <c r="DE203" t="s">
        <v>1196</v>
      </c>
      <c r="DF203" t="s">
        <v>2035</v>
      </c>
      <c r="DG203" t="s">
        <v>1048</v>
      </c>
    </row>
    <row r="204" spans="1:114" x14ac:dyDescent="0.25">
      <c r="A204">
        <v>1343</v>
      </c>
      <c r="C204" t="s">
        <v>3459</v>
      </c>
      <c r="D204" t="s">
        <v>1873</v>
      </c>
      <c r="E204" t="s">
        <v>1810</v>
      </c>
      <c r="G204" t="s">
        <v>3948</v>
      </c>
      <c r="I204" t="s">
        <v>220</v>
      </c>
      <c r="J204">
        <v>1343</v>
      </c>
      <c r="K204" t="s">
        <v>1097</v>
      </c>
      <c r="L204">
        <v>12</v>
      </c>
      <c r="M204" s="7" t="s">
        <v>338</v>
      </c>
      <c r="N204" t="s">
        <v>358</v>
      </c>
      <c r="P204" t="s">
        <v>225</v>
      </c>
      <c r="Q204" t="s">
        <v>205</v>
      </c>
      <c r="R204" t="s">
        <v>205</v>
      </c>
      <c r="S204" t="s">
        <v>205</v>
      </c>
      <c r="T204" t="s">
        <v>225</v>
      </c>
      <c r="W204">
        <v>1</v>
      </c>
      <c r="X204">
        <v>1</v>
      </c>
      <c r="Y204" t="s">
        <v>225</v>
      </c>
      <c r="Z204" t="s">
        <v>225</v>
      </c>
      <c r="AA204" t="s">
        <v>225</v>
      </c>
      <c r="AB204" t="s">
        <v>225</v>
      </c>
      <c r="AC204" t="s">
        <v>225</v>
      </c>
      <c r="AD204" t="s">
        <v>225</v>
      </c>
      <c r="AE204" t="s">
        <v>225</v>
      </c>
      <c r="AF204" t="s">
        <v>225</v>
      </c>
      <c r="AG204" t="s">
        <v>225</v>
      </c>
      <c r="AH204" t="s">
        <v>225</v>
      </c>
      <c r="AI204" t="s">
        <v>225</v>
      </c>
      <c r="AJ204" t="s">
        <v>225</v>
      </c>
      <c r="AK204" t="s">
        <v>225</v>
      </c>
      <c r="AL204" t="s">
        <v>225</v>
      </c>
      <c r="AM204" t="s">
        <v>225</v>
      </c>
      <c r="AN204" t="s">
        <v>225</v>
      </c>
      <c r="AO204" t="s">
        <v>225</v>
      </c>
      <c r="AP204" t="s">
        <v>225</v>
      </c>
      <c r="AQ204" t="s">
        <v>225</v>
      </c>
      <c r="AR204" t="s">
        <v>225</v>
      </c>
      <c r="AS204" t="s">
        <v>225</v>
      </c>
      <c r="AT204" t="s">
        <v>225</v>
      </c>
      <c r="AU204" t="s">
        <v>225</v>
      </c>
      <c r="AV204" t="s">
        <v>225</v>
      </c>
      <c r="AW204" t="s">
        <v>225</v>
      </c>
      <c r="AX204" t="s">
        <v>225</v>
      </c>
      <c r="AY204" t="s">
        <v>225</v>
      </c>
      <c r="AZ204" t="s">
        <v>225</v>
      </c>
      <c r="BA204" t="s">
        <v>225</v>
      </c>
      <c r="BB204" t="s">
        <v>225</v>
      </c>
      <c r="BC204" t="s">
        <v>225</v>
      </c>
      <c r="BD204" t="s">
        <v>225</v>
      </c>
      <c r="BE204" t="s">
        <v>225</v>
      </c>
      <c r="BF204" t="s">
        <v>225</v>
      </c>
      <c r="BG204" t="s">
        <v>225</v>
      </c>
      <c r="BH204" t="s">
        <v>225</v>
      </c>
      <c r="BI204" t="s">
        <v>225</v>
      </c>
      <c r="BJ204" t="s">
        <v>225</v>
      </c>
      <c r="BK204" t="s">
        <v>225</v>
      </c>
      <c r="BL204" t="s">
        <v>225</v>
      </c>
      <c r="BN204" t="s">
        <v>3952</v>
      </c>
      <c r="BR204" s="5">
        <v>0</v>
      </c>
      <c r="BS204" s="5">
        <v>0</v>
      </c>
      <c r="BT204" s="5">
        <v>0</v>
      </c>
      <c r="BU204" s="5">
        <f>(BS204/8+BT204/4)*39</f>
        <v>0</v>
      </c>
      <c r="BV204" s="5">
        <v>0</v>
      </c>
      <c r="BW204" s="5">
        <v>0</v>
      </c>
      <c r="BX204" s="5">
        <v>0</v>
      </c>
      <c r="BY204" s="5">
        <v>0</v>
      </c>
      <c r="BZ204" s="5">
        <v>0</v>
      </c>
      <c r="CA204" s="5">
        <v>0</v>
      </c>
      <c r="CB204" s="5">
        <v>0</v>
      </c>
      <c r="CC204" s="5">
        <f>(BV204+BW204/2+BX204/8+BY204/16+BZ204/4+CA204/32)*39</f>
        <v>0</v>
      </c>
      <c r="CD204" s="5">
        <v>0</v>
      </c>
      <c r="CE204" s="5">
        <v>0</v>
      </c>
      <c r="CF204" s="5">
        <v>0</v>
      </c>
      <c r="CG204" s="5">
        <v>0</v>
      </c>
      <c r="CH204" s="5">
        <v>0</v>
      </c>
      <c r="CI204" s="5">
        <v>0</v>
      </c>
      <c r="CJ204" s="5"/>
      <c r="CK204" s="5">
        <v>0</v>
      </c>
      <c r="CL204" s="5">
        <f>(CD204+CE204/2+CF204/8+CG204/16+CH204/4+CJ204/32+CK204/16)*39</f>
        <v>0</v>
      </c>
      <c r="CM204" s="5">
        <v>0</v>
      </c>
      <c r="CN204" s="5">
        <v>0</v>
      </c>
      <c r="CO204" s="5">
        <v>0</v>
      </c>
      <c r="CP204" s="5">
        <v>0</v>
      </c>
      <c r="CQ204" s="5">
        <v>0</v>
      </c>
      <c r="CR204" s="5"/>
      <c r="CS204" s="5">
        <f>9/12</f>
        <v>0.75</v>
      </c>
      <c r="CT204" s="5">
        <v>0</v>
      </c>
      <c r="CU204" s="5">
        <v>0</v>
      </c>
      <c r="CV204" s="5">
        <v>0</v>
      </c>
      <c r="CW204">
        <f>CS204+CT204/24+CU204/48+CV204/48</f>
        <v>0.75</v>
      </c>
      <c r="CX204" s="5">
        <v>0</v>
      </c>
      <c r="DA204" t="s">
        <v>1733</v>
      </c>
      <c r="DB204" t="s">
        <v>1884</v>
      </c>
      <c r="DD204" t="s">
        <v>693</v>
      </c>
    </row>
    <row r="205" spans="1:114" x14ac:dyDescent="0.25">
      <c r="A205">
        <v>1722</v>
      </c>
      <c r="C205" t="s">
        <v>13</v>
      </c>
      <c r="D205" t="s">
        <v>3775</v>
      </c>
      <c r="E205" t="s">
        <v>3081</v>
      </c>
      <c r="F205" t="s">
        <v>3082</v>
      </c>
      <c r="I205" t="s">
        <v>219</v>
      </c>
      <c r="J205" s="5">
        <v>1343</v>
      </c>
      <c r="K205" t="s">
        <v>249</v>
      </c>
      <c r="L205">
        <v>23</v>
      </c>
      <c r="M205" s="8" t="s">
        <v>338</v>
      </c>
      <c r="N205" t="s">
        <v>3091</v>
      </c>
      <c r="V205" t="s">
        <v>1463</v>
      </c>
      <c r="W205" t="s">
        <v>225</v>
      </c>
      <c r="X205" t="s">
        <v>225</v>
      </c>
      <c r="Y205" t="s">
        <v>205</v>
      </c>
      <c r="Z205" t="s">
        <v>225</v>
      </c>
      <c r="AA205" t="s">
        <v>225</v>
      </c>
      <c r="AB205" t="s">
        <v>225</v>
      </c>
      <c r="AC205" t="s">
        <v>225</v>
      </c>
      <c r="AD205" t="s">
        <v>205</v>
      </c>
      <c r="AE205" t="s">
        <v>225</v>
      </c>
      <c r="AF205" t="s">
        <v>225</v>
      </c>
      <c r="AG205" t="s">
        <v>225</v>
      </c>
      <c r="AH205" t="s">
        <v>225</v>
      </c>
      <c r="AI205" t="s">
        <v>225</v>
      </c>
      <c r="AJ205" t="s">
        <v>225</v>
      </c>
      <c r="AK205" t="s">
        <v>225</v>
      </c>
      <c r="AL205" t="s">
        <v>225</v>
      </c>
      <c r="AM205" t="s">
        <v>225</v>
      </c>
      <c r="AN205" t="s">
        <v>225</v>
      </c>
      <c r="AO205" t="s">
        <v>225</v>
      </c>
      <c r="AP205" t="s">
        <v>225</v>
      </c>
      <c r="AQ205" t="s">
        <v>225</v>
      </c>
      <c r="AR205" t="s">
        <v>225</v>
      </c>
      <c r="AS205" t="s">
        <v>225</v>
      </c>
      <c r="AT205" t="s">
        <v>225</v>
      </c>
      <c r="AU205" t="s">
        <v>225</v>
      </c>
      <c r="AV205" t="s">
        <v>225</v>
      </c>
      <c r="AW205" t="s">
        <v>225</v>
      </c>
      <c r="AX205" t="s">
        <v>225</v>
      </c>
      <c r="AY205" t="s">
        <v>225</v>
      </c>
      <c r="AZ205" t="s">
        <v>225</v>
      </c>
      <c r="BA205" t="s">
        <v>225</v>
      </c>
      <c r="BB205" t="s">
        <v>225</v>
      </c>
      <c r="BC205" t="s">
        <v>225</v>
      </c>
      <c r="BD205" t="s">
        <v>225</v>
      </c>
      <c r="BE205" t="s">
        <v>225</v>
      </c>
      <c r="BF205" t="s">
        <v>225</v>
      </c>
      <c r="BG205" t="s">
        <v>225</v>
      </c>
      <c r="BH205" t="s">
        <v>225</v>
      </c>
      <c r="BI205" t="s">
        <v>225</v>
      </c>
      <c r="BJ205" t="s">
        <v>225</v>
      </c>
      <c r="BK205" t="s">
        <v>225</v>
      </c>
      <c r="BL205" t="s">
        <v>225</v>
      </c>
      <c r="BN205" t="s">
        <v>3090</v>
      </c>
      <c r="BR205" s="5">
        <v>0</v>
      </c>
      <c r="BS205" s="5">
        <v>0</v>
      </c>
      <c r="BT205" s="5">
        <v>0</v>
      </c>
      <c r="BU205" s="5">
        <f>(BS205/8+BT205/4)*39</f>
        <v>0</v>
      </c>
      <c r="BV205" s="5">
        <v>0</v>
      </c>
      <c r="BW205" s="5">
        <v>0</v>
      </c>
      <c r="BX205" s="5">
        <v>0</v>
      </c>
      <c r="BY205" s="5">
        <v>0</v>
      </c>
      <c r="BZ205" s="5">
        <v>0</v>
      </c>
      <c r="CA205" s="5">
        <v>0</v>
      </c>
      <c r="CB205" s="5">
        <v>0</v>
      </c>
      <c r="CC205" s="5">
        <f>(BV205+BW205/2+BX205/8+BY205/16+BZ205/4+CA205/32)*39</f>
        <v>0</v>
      </c>
      <c r="CD205" s="5">
        <v>0</v>
      </c>
      <c r="CE205" s="5">
        <v>0</v>
      </c>
      <c r="CF205" s="5">
        <v>0</v>
      </c>
      <c r="CG205" s="5">
        <v>0</v>
      </c>
      <c r="CH205" s="5">
        <v>0</v>
      </c>
      <c r="CI205" s="5">
        <v>0</v>
      </c>
      <c r="CJ205" s="5">
        <v>0</v>
      </c>
      <c r="CK205" s="5">
        <v>0</v>
      </c>
      <c r="CL205" s="5">
        <f>(CD205+CE205/2+CF205/8+CG205/16+CH205/4+CJ205/32+CK205/16)*39</f>
        <v>0</v>
      </c>
      <c r="CM205" s="5">
        <v>0</v>
      </c>
      <c r="CN205" s="5">
        <v>0</v>
      </c>
      <c r="CO205" s="5">
        <v>0</v>
      </c>
      <c r="CP205" s="5">
        <v>0</v>
      </c>
      <c r="CQ205" s="5">
        <v>0</v>
      </c>
      <c r="CS205">
        <f>5/12</f>
        <v>0.41666666666666669</v>
      </c>
      <c r="CT205">
        <v>0</v>
      </c>
      <c r="CU205">
        <v>0</v>
      </c>
      <c r="CV205">
        <v>0</v>
      </c>
      <c r="CW205">
        <f>CS205+CT205/24+CU205/48+CV205/48</f>
        <v>0.41666666666666669</v>
      </c>
      <c r="CX205">
        <v>0</v>
      </c>
      <c r="CZ205" t="s">
        <v>210</v>
      </c>
      <c r="DB205" t="s">
        <v>3084</v>
      </c>
      <c r="DC205" t="s">
        <v>3092</v>
      </c>
      <c r="DD205" t="s">
        <v>693</v>
      </c>
      <c r="DE205" t="s">
        <v>3972</v>
      </c>
      <c r="DF205" t="s">
        <v>564</v>
      </c>
      <c r="DG205" t="s">
        <v>3093</v>
      </c>
    </row>
    <row r="206" spans="1:114" x14ac:dyDescent="0.25">
      <c r="A206">
        <v>1502</v>
      </c>
      <c r="C206" t="s">
        <v>2533</v>
      </c>
      <c r="D206" t="s">
        <v>8</v>
      </c>
      <c r="E206" t="s">
        <v>2522</v>
      </c>
      <c r="G206" t="s">
        <v>2534</v>
      </c>
      <c r="I206" t="s">
        <v>220</v>
      </c>
      <c r="J206" s="16">
        <v>1342</v>
      </c>
      <c r="K206" s="16" t="s">
        <v>817</v>
      </c>
      <c r="L206" t="s">
        <v>15</v>
      </c>
      <c r="M206" s="7" t="s">
        <v>338</v>
      </c>
      <c r="V206" t="s">
        <v>1463</v>
      </c>
      <c r="W206" t="s">
        <v>225</v>
      </c>
      <c r="X206">
        <v>1</v>
      </c>
      <c r="Y206" t="s">
        <v>225</v>
      </c>
      <c r="Z206" t="s">
        <v>225</v>
      </c>
      <c r="AA206" t="s">
        <v>225</v>
      </c>
      <c r="AB206" t="s">
        <v>225</v>
      </c>
      <c r="AC206" t="s">
        <v>225</v>
      </c>
      <c r="AD206" t="s">
        <v>225</v>
      </c>
      <c r="AE206">
        <v>1</v>
      </c>
      <c r="AF206" t="s">
        <v>225</v>
      </c>
      <c r="AG206" t="s">
        <v>225</v>
      </c>
      <c r="AH206" t="s">
        <v>225</v>
      </c>
      <c r="AI206" t="s">
        <v>225</v>
      </c>
      <c r="AJ206" t="s">
        <v>225</v>
      </c>
      <c r="AK206" t="s">
        <v>225</v>
      </c>
      <c r="AL206" t="s">
        <v>225</v>
      </c>
      <c r="AM206" t="s">
        <v>225</v>
      </c>
      <c r="AN206" t="s">
        <v>225</v>
      </c>
      <c r="AO206" t="s">
        <v>225</v>
      </c>
      <c r="AP206" t="s">
        <v>225</v>
      </c>
      <c r="AQ206" t="s">
        <v>225</v>
      </c>
      <c r="AR206" t="s">
        <v>225</v>
      </c>
      <c r="AS206" t="s">
        <v>225</v>
      </c>
      <c r="AT206" t="s">
        <v>225</v>
      </c>
      <c r="AU206" t="s">
        <v>225</v>
      </c>
      <c r="AV206" t="s">
        <v>225</v>
      </c>
      <c r="AW206" t="s">
        <v>225</v>
      </c>
      <c r="AX206" t="s">
        <v>225</v>
      </c>
      <c r="AY206" t="s">
        <v>225</v>
      </c>
      <c r="AZ206" t="s">
        <v>225</v>
      </c>
      <c r="BA206" t="s">
        <v>225</v>
      </c>
      <c r="BB206" t="s">
        <v>225</v>
      </c>
      <c r="BC206" t="s">
        <v>225</v>
      </c>
      <c r="BD206" t="s">
        <v>225</v>
      </c>
      <c r="BE206" t="s">
        <v>225</v>
      </c>
      <c r="BF206" t="s">
        <v>225</v>
      </c>
      <c r="BG206" t="s">
        <v>225</v>
      </c>
      <c r="BH206" t="s">
        <v>225</v>
      </c>
      <c r="BI206" t="s">
        <v>225</v>
      </c>
      <c r="BJ206" t="s">
        <v>225</v>
      </c>
      <c r="BK206" t="s">
        <v>225</v>
      </c>
      <c r="BL206" t="s">
        <v>225</v>
      </c>
      <c r="BN206" t="s">
        <v>2539</v>
      </c>
      <c r="BR206" s="5">
        <v>0</v>
      </c>
      <c r="BS206" s="5">
        <v>0</v>
      </c>
      <c r="BT206" s="5">
        <v>0</v>
      </c>
      <c r="BU206" s="5">
        <f>(BS206/8+BT206/4)*39</f>
        <v>0</v>
      </c>
      <c r="BV206" s="5">
        <v>0</v>
      </c>
      <c r="BW206" s="5">
        <v>0</v>
      </c>
      <c r="BX206" s="5">
        <v>0</v>
      </c>
      <c r="BY206" s="5">
        <v>0</v>
      </c>
      <c r="BZ206" s="5">
        <v>0</v>
      </c>
      <c r="CA206" s="5">
        <v>0</v>
      </c>
      <c r="CB206" s="5">
        <v>0</v>
      </c>
      <c r="CC206" s="5">
        <f>(BV206+BW206/2+BX206/8+BY206/16+BZ206/4+CA206/32)*39</f>
        <v>0</v>
      </c>
      <c r="CD206" s="5">
        <v>0</v>
      </c>
      <c r="CE206" s="5">
        <v>0</v>
      </c>
      <c r="CF206" s="5">
        <v>0</v>
      </c>
      <c r="CG206" s="5">
        <v>0</v>
      </c>
      <c r="CH206" s="5">
        <v>0</v>
      </c>
      <c r="CI206" s="5">
        <v>0</v>
      </c>
      <c r="CJ206" s="5">
        <v>0</v>
      </c>
      <c r="CK206" s="5">
        <v>0</v>
      </c>
      <c r="CL206" s="5">
        <f>(CD206+CE206/2+CF206/8+CG206/16+CH206/4+CJ206/32+CK206/16)*39</f>
        <v>0</v>
      </c>
      <c r="CM206" s="5">
        <v>0</v>
      </c>
      <c r="CN206" s="5">
        <v>0</v>
      </c>
      <c r="CO206" s="5">
        <v>0</v>
      </c>
      <c r="CP206" s="5">
        <v>0</v>
      </c>
      <c r="CQ206" s="5">
        <v>0</v>
      </c>
      <c r="CR206" t="s">
        <v>815</v>
      </c>
      <c r="CS206">
        <f>3/12</f>
        <v>0.25</v>
      </c>
      <c r="CT206">
        <v>0</v>
      </c>
      <c r="CU206">
        <v>0</v>
      </c>
      <c r="CV206">
        <v>0</v>
      </c>
      <c r="CW206">
        <f>CS206+CT206/24+CU206/48+CV206/48</f>
        <v>0.25</v>
      </c>
      <c r="CX206">
        <v>0</v>
      </c>
      <c r="CZ206" t="s">
        <v>210</v>
      </c>
      <c r="DC206" s="26" t="s">
        <v>1569</v>
      </c>
      <c r="DD206" t="s">
        <v>693</v>
      </c>
      <c r="DE206" t="s">
        <v>752</v>
      </c>
      <c r="DF206" t="s">
        <v>1230</v>
      </c>
      <c r="DG206" t="s">
        <v>2541</v>
      </c>
    </row>
    <row r="207" spans="1:114" x14ac:dyDescent="0.25">
      <c r="A207">
        <v>1503</v>
      </c>
      <c r="C207" t="s">
        <v>1730</v>
      </c>
      <c r="D207" t="s">
        <v>8</v>
      </c>
      <c r="E207" t="s">
        <v>2543</v>
      </c>
      <c r="G207" t="s">
        <v>2542</v>
      </c>
      <c r="H207" t="s">
        <v>2544</v>
      </c>
      <c r="I207" t="s">
        <v>219</v>
      </c>
      <c r="J207" s="5">
        <v>1345</v>
      </c>
      <c r="K207" t="s">
        <v>1082</v>
      </c>
      <c r="L207">
        <v>6</v>
      </c>
      <c r="M207" s="7" t="s">
        <v>338</v>
      </c>
      <c r="N207" t="s">
        <v>2555</v>
      </c>
      <c r="V207" t="s">
        <v>1463</v>
      </c>
      <c r="W207" t="s">
        <v>225</v>
      </c>
      <c r="X207">
        <v>3</v>
      </c>
      <c r="Y207" t="s">
        <v>225</v>
      </c>
      <c r="Z207" t="s">
        <v>225</v>
      </c>
      <c r="AA207" t="s">
        <v>225</v>
      </c>
      <c r="AB207" t="s">
        <v>225</v>
      </c>
      <c r="AC207" t="s">
        <v>225</v>
      </c>
      <c r="AD207" t="s">
        <v>205</v>
      </c>
      <c r="AE207">
        <v>1</v>
      </c>
      <c r="AF207" t="s">
        <v>225</v>
      </c>
      <c r="AG207" t="s">
        <v>225</v>
      </c>
      <c r="AH207" t="s">
        <v>225</v>
      </c>
      <c r="AI207" t="s">
        <v>225</v>
      </c>
      <c r="AJ207" t="s">
        <v>225</v>
      </c>
      <c r="AK207" t="s">
        <v>225</v>
      </c>
      <c r="AL207" t="s">
        <v>225</v>
      </c>
      <c r="AM207" t="s">
        <v>225</v>
      </c>
      <c r="AN207" t="s">
        <v>225</v>
      </c>
      <c r="AO207" t="s">
        <v>225</v>
      </c>
      <c r="AP207" t="s">
        <v>225</v>
      </c>
      <c r="AQ207" t="s">
        <v>225</v>
      </c>
      <c r="AR207" t="s">
        <v>225</v>
      </c>
      <c r="AS207" t="s">
        <v>225</v>
      </c>
      <c r="AT207" t="s">
        <v>225</v>
      </c>
      <c r="AU207" t="s">
        <v>225</v>
      </c>
      <c r="AV207" t="s">
        <v>225</v>
      </c>
      <c r="AW207" t="s">
        <v>225</v>
      </c>
      <c r="AX207" t="s">
        <v>225</v>
      </c>
      <c r="AY207" t="s">
        <v>225</v>
      </c>
      <c r="AZ207" t="s">
        <v>225</v>
      </c>
      <c r="BA207" t="s">
        <v>225</v>
      </c>
      <c r="BB207" t="s">
        <v>225</v>
      </c>
      <c r="BC207" t="s">
        <v>225</v>
      </c>
      <c r="BD207" t="s">
        <v>225</v>
      </c>
      <c r="BE207" t="s">
        <v>225</v>
      </c>
      <c r="BF207" t="s">
        <v>225</v>
      </c>
      <c r="BG207" t="s">
        <v>225</v>
      </c>
      <c r="BH207" t="s">
        <v>225</v>
      </c>
      <c r="BI207" t="s">
        <v>225</v>
      </c>
      <c r="BJ207" t="s">
        <v>225</v>
      </c>
      <c r="BK207" t="s">
        <v>225</v>
      </c>
      <c r="BL207" t="s">
        <v>225</v>
      </c>
      <c r="BN207" t="s">
        <v>2554</v>
      </c>
      <c r="BP207" t="s">
        <v>467</v>
      </c>
      <c r="BR207" s="5">
        <v>1</v>
      </c>
      <c r="BS207" s="5">
        <v>0</v>
      </c>
      <c r="BT207" s="5">
        <v>0</v>
      </c>
      <c r="BU207" s="5">
        <f>(BS207/8+BT207/4)*39</f>
        <v>0</v>
      </c>
      <c r="BV207" s="5">
        <v>0</v>
      </c>
      <c r="BW207" s="5">
        <v>0</v>
      </c>
      <c r="BX207" s="5">
        <v>0</v>
      </c>
      <c r="BY207" s="5">
        <v>0</v>
      </c>
      <c r="BZ207" s="5">
        <v>0</v>
      </c>
      <c r="CA207" s="5">
        <v>0</v>
      </c>
      <c r="CB207" s="5">
        <v>0</v>
      </c>
      <c r="CC207" s="5">
        <f>(BV207+BW207/2+BX207/8+BY207/16+BZ207/4+CA207/32)*39</f>
        <v>0</v>
      </c>
      <c r="CD207" s="5">
        <v>0</v>
      </c>
      <c r="CE207" s="5">
        <v>0</v>
      </c>
      <c r="CF207" s="5">
        <v>0</v>
      </c>
      <c r="CG207" s="5">
        <v>0</v>
      </c>
      <c r="CH207" s="5">
        <v>0</v>
      </c>
      <c r="CI207" s="5">
        <v>0</v>
      </c>
      <c r="CJ207" s="5">
        <v>0</v>
      </c>
      <c r="CK207" s="5">
        <v>0</v>
      </c>
      <c r="CL207" s="5">
        <f>(CD207+CE207/2+CF207/8+CG207/16+CH207/4+CJ207/32+CK207/16)*39</f>
        <v>0</v>
      </c>
      <c r="CM207" s="5">
        <v>0</v>
      </c>
      <c r="CN207" s="5">
        <v>0</v>
      </c>
      <c r="CO207" s="5">
        <v>0</v>
      </c>
      <c r="CP207" s="5">
        <v>0</v>
      </c>
      <c r="CQ207" s="5">
        <v>0</v>
      </c>
      <c r="CS207">
        <f>9/12</f>
        <v>0.75</v>
      </c>
      <c r="CT207">
        <v>0</v>
      </c>
      <c r="CU207">
        <v>0</v>
      </c>
      <c r="CV207">
        <v>0</v>
      </c>
      <c r="CW207">
        <f>CS207+CT207/24+CU207/48+CV207/48</f>
        <v>0.75</v>
      </c>
      <c r="CX207">
        <v>0</v>
      </c>
      <c r="CZ207" t="s">
        <v>210</v>
      </c>
      <c r="DC207" s="15" t="s">
        <v>539</v>
      </c>
      <c r="DD207" t="s">
        <v>693</v>
      </c>
      <c r="DE207" t="s">
        <v>2556</v>
      </c>
      <c r="DF207" t="s">
        <v>2557</v>
      </c>
      <c r="DG207" t="s">
        <v>2558</v>
      </c>
    </row>
    <row r="208" spans="1:114" x14ac:dyDescent="0.25">
      <c r="A208">
        <v>1711</v>
      </c>
      <c r="C208" t="s">
        <v>3052</v>
      </c>
      <c r="D208" t="s">
        <v>8</v>
      </c>
      <c r="E208" t="s">
        <v>3053</v>
      </c>
      <c r="I208" t="s">
        <v>219</v>
      </c>
      <c r="J208" s="5">
        <v>1343</v>
      </c>
      <c r="K208" t="s">
        <v>249</v>
      </c>
      <c r="L208">
        <v>16</v>
      </c>
      <c r="M208" s="7" t="s">
        <v>338</v>
      </c>
      <c r="P208" t="s">
        <v>225</v>
      </c>
      <c r="Q208" t="s">
        <v>205</v>
      </c>
      <c r="R208" t="s">
        <v>225</v>
      </c>
      <c r="S208" t="s">
        <v>205</v>
      </c>
      <c r="T208" t="s">
        <v>225</v>
      </c>
      <c r="W208" t="s">
        <v>225</v>
      </c>
      <c r="X208" t="s">
        <v>225</v>
      </c>
      <c r="Y208">
        <v>3</v>
      </c>
      <c r="Z208" t="s">
        <v>225</v>
      </c>
      <c r="AA208">
        <v>2</v>
      </c>
      <c r="AB208" t="s">
        <v>225</v>
      </c>
      <c r="AC208" t="s">
        <v>225</v>
      </c>
      <c r="AD208" t="s">
        <v>205</v>
      </c>
      <c r="AE208" t="s">
        <v>225</v>
      </c>
      <c r="AF208" t="s">
        <v>225</v>
      </c>
      <c r="AG208" t="s">
        <v>225</v>
      </c>
      <c r="AH208" t="s">
        <v>225</v>
      </c>
      <c r="AI208" t="s">
        <v>225</v>
      </c>
      <c r="AJ208" t="s">
        <v>225</v>
      </c>
      <c r="AK208" t="s">
        <v>225</v>
      </c>
      <c r="AL208" t="s">
        <v>225</v>
      </c>
      <c r="AM208" t="s">
        <v>225</v>
      </c>
      <c r="AN208" t="s">
        <v>225</v>
      </c>
      <c r="AO208" t="s">
        <v>225</v>
      </c>
      <c r="AP208">
        <v>11</v>
      </c>
      <c r="AQ208" t="s">
        <v>225</v>
      </c>
      <c r="AR208" t="s">
        <v>225</v>
      </c>
      <c r="AS208" t="s">
        <v>225</v>
      </c>
      <c r="AT208" t="s">
        <v>225</v>
      </c>
      <c r="AU208" t="s">
        <v>225</v>
      </c>
      <c r="AV208" t="s">
        <v>225</v>
      </c>
      <c r="AW208" t="s">
        <v>225</v>
      </c>
      <c r="AX208" t="s">
        <v>225</v>
      </c>
      <c r="AY208" t="s">
        <v>225</v>
      </c>
      <c r="AZ208" t="s">
        <v>225</v>
      </c>
      <c r="BA208" t="s">
        <v>225</v>
      </c>
      <c r="BB208" t="s">
        <v>225</v>
      </c>
      <c r="BC208" t="s">
        <v>225</v>
      </c>
      <c r="BD208" t="s">
        <v>225</v>
      </c>
      <c r="BE208" t="s">
        <v>225</v>
      </c>
      <c r="BF208" t="s">
        <v>225</v>
      </c>
      <c r="BG208" t="s">
        <v>225</v>
      </c>
      <c r="BH208" t="s">
        <v>225</v>
      </c>
      <c r="BI208" t="s">
        <v>225</v>
      </c>
      <c r="BJ208" t="s">
        <v>225</v>
      </c>
      <c r="BK208" t="s">
        <v>225</v>
      </c>
      <c r="BL208" t="s">
        <v>205</v>
      </c>
      <c r="BN208" t="s">
        <v>3069</v>
      </c>
      <c r="BO208" t="s">
        <v>3070</v>
      </c>
      <c r="BQ208" t="s">
        <v>1455</v>
      </c>
      <c r="BR208" s="5">
        <v>0</v>
      </c>
      <c r="BS208" s="5">
        <v>0</v>
      </c>
      <c r="BT208" s="5">
        <v>0</v>
      </c>
      <c r="BU208" s="5">
        <f>(BS208/8+BT208/4)*39</f>
        <v>0</v>
      </c>
      <c r="BV208" s="5">
        <v>0</v>
      </c>
      <c r="BW208" s="5">
        <v>0</v>
      </c>
      <c r="BX208" s="5">
        <f>3+1/2</f>
        <v>3.5</v>
      </c>
      <c r="BY208" s="5">
        <v>1</v>
      </c>
      <c r="BZ208" s="5">
        <v>0</v>
      </c>
      <c r="CA208" s="5">
        <v>0</v>
      </c>
      <c r="CB208" s="5">
        <v>0</v>
      </c>
      <c r="CC208" s="5">
        <f>(BV208+BW208/2+BX208/8+BY208/16+BZ208/4+CA208/32)*39</f>
        <v>19.5</v>
      </c>
      <c r="CD208" s="5">
        <v>0</v>
      </c>
      <c r="CE208" s="5">
        <v>0</v>
      </c>
      <c r="CF208" s="5">
        <f>1/2</f>
        <v>0.5</v>
      </c>
      <c r="CG208" s="5">
        <v>0</v>
      </c>
      <c r="CH208" s="5">
        <v>1</v>
      </c>
      <c r="CI208" s="5">
        <v>0</v>
      </c>
      <c r="CJ208" s="5">
        <v>0</v>
      </c>
      <c r="CK208" s="5">
        <v>0</v>
      </c>
      <c r="CL208" s="5">
        <f>(CD208+CE208/2+CF208/8+CG208/16+CH208/4+CJ208/32+CK208/16)*39</f>
        <v>12.1875</v>
      </c>
      <c r="CM208" s="5">
        <v>0</v>
      </c>
      <c r="CN208" s="5">
        <v>0</v>
      </c>
      <c r="CO208" s="5">
        <v>0</v>
      </c>
      <c r="CP208" s="5">
        <v>0</v>
      </c>
      <c r="CQ208" s="5">
        <v>0</v>
      </c>
      <c r="CS208">
        <f>3+11/12</f>
        <v>3.9166666666666665</v>
      </c>
      <c r="CT208">
        <v>1</v>
      </c>
      <c r="CU208">
        <v>0</v>
      </c>
      <c r="CV208">
        <v>0</v>
      </c>
      <c r="CW208">
        <f>CS208+CT208/24+CU208/48+CV208/48</f>
        <v>3.958333333333333</v>
      </c>
      <c r="CX208">
        <v>0</v>
      </c>
      <c r="CZ208" t="s">
        <v>210</v>
      </c>
      <c r="DC208" t="s">
        <v>2996</v>
      </c>
      <c r="DD208" t="s">
        <v>693</v>
      </c>
      <c r="DE208" t="s">
        <v>542</v>
      </c>
      <c r="DF208" t="s">
        <v>3071</v>
      </c>
      <c r="DG208" t="s">
        <v>3072</v>
      </c>
    </row>
    <row r="209" spans="1:114" x14ac:dyDescent="0.25">
      <c r="A209">
        <v>863</v>
      </c>
      <c r="B209" t="s">
        <v>788</v>
      </c>
      <c r="C209" t="s">
        <v>1074</v>
      </c>
      <c r="D209" t="s">
        <v>1075</v>
      </c>
      <c r="E209" t="s">
        <v>776</v>
      </c>
      <c r="F209" t="s">
        <v>1067</v>
      </c>
      <c r="I209" t="s">
        <v>220</v>
      </c>
      <c r="J209">
        <v>1343</v>
      </c>
      <c r="K209" t="s">
        <v>1038</v>
      </c>
      <c r="L209" s="5">
        <v>29</v>
      </c>
      <c r="M209" s="7" t="s">
        <v>338</v>
      </c>
      <c r="W209" t="s">
        <v>225</v>
      </c>
      <c r="X209" t="s">
        <v>225</v>
      </c>
      <c r="Y209">
        <v>1</v>
      </c>
      <c r="Z209" t="s">
        <v>225</v>
      </c>
      <c r="AA209" t="s">
        <v>225</v>
      </c>
      <c r="AB209" t="s">
        <v>225</v>
      </c>
      <c r="AC209">
        <v>1</v>
      </c>
      <c r="AD209" t="s">
        <v>225</v>
      </c>
      <c r="AE209" t="s">
        <v>225</v>
      </c>
      <c r="AF209" t="s">
        <v>225</v>
      </c>
      <c r="AG209" t="s">
        <v>225</v>
      </c>
      <c r="AH209" t="s">
        <v>225</v>
      </c>
      <c r="AI209" t="s">
        <v>225</v>
      </c>
      <c r="AJ209" t="s">
        <v>225</v>
      </c>
      <c r="AK209" t="s">
        <v>225</v>
      </c>
      <c r="AL209" t="s">
        <v>225</v>
      </c>
      <c r="AM209" t="s">
        <v>225</v>
      </c>
      <c r="AN209" t="s">
        <v>225</v>
      </c>
      <c r="AO209" t="s">
        <v>225</v>
      </c>
      <c r="AP209" t="s">
        <v>225</v>
      </c>
      <c r="AQ209" t="s">
        <v>225</v>
      </c>
      <c r="AR209" t="s">
        <v>225</v>
      </c>
      <c r="AS209" t="s">
        <v>225</v>
      </c>
      <c r="AT209" t="s">
        <v>225</v>
      </c>
      <c r="AU209" t="s">
        <v>225</v>
      </c>
      <c r="AV209" t="s">
        <v>225</v>
      </c>
      <c r="AW209" t="s">
        <v>225</v>
      </c>
      <c r="AX209" t="s">
        <v>225</v>
      </c>
      <c r="AY209" t="s">
        <v>225</v>
      </c>
      <c r="AZ209" t="s">
        <v>225</v>
      </c>
      <c r="BA209" t="s">
        <v>225</v>
      </c>
      <c r="BB209" t="s">
        <v>225</v>
      </c>
      <c r="BC209" t="s">
        <v>225</v>
      </c>
      <c r="BD209" t="s">
        <v>225</v>
      </c>
      <c r="BE209" t="s">
        <v>225</v>
      </c>
      <c r="BF209" t="s">
        <v>225</v>
      </c>
      <c r="BG209" t="s">
        <v>225</v>
      </c>
      <c r="BH209" t="s">
        <v>225</v>
      </c>
      <c r="BI209" t="s">
        <v>225</v>
      </c>
      <c r="BJ209" t="s">
        <v>225</v>
      </c>
      <c r="BK209" t="s">
        <v>225</v>
      </c>
      <c r="BL209" t="s">
        <v>225</v>
      </c>
      <c r="BN209" t="s">
        <v>1080</v>
      </c>
      <c r="BQ209" t="s">
        <v>1455</v>
      </c>
      <c r="BR209" s="5">
        <v>0</v>
      </c>
      <c r="BS209" s="5">
        <v>0</v>
      </c>
      <c r="BT209" s="5">
        <v>0</v>
      </c>
      <c r="BU209" s="5">
        <f>(BS209/8+BT209/4)*39</f>
        <v>0</v>
      </c>
      <c r="BV209" s="5">
        <v>0</v>
      </c>
      <c r="BW209" s="5">
        <v>0</v>
      </c>
      <c r="BX209" s="5">
        <v>1.5</v>
      </c>
      <c r="BY209" s="5">
        <v>0</v>
      </c>
      <c r="BZ209" s="5">
        <v>0</v>
      </c>
      <c r="CA209" s="5">
        <v>0</v>
      </c>
      <c r="CB209" s="5">
        <v>0</v>
      </c>
      <c r="CC209" s="5">
        <f>(BV209+BW209/2+BX209/8+BY209/16+BZ209/4+CA209/32)*39</f>
        <v>7.3125</v>
      </c>
      <c r="CD209" s="5">
        <v>0</v>
      </c>
      <c r="CE209" s="5">
        <v>0</v>
      </c>
      <c r="CF209" s="5">
        <v>1.5</v>
      </c>
      <c r="CG209" s="5">
        <v>0</v>
      </c>
      <c r="CH209" s="5">
        <v>0</v>
      </c>
      <c r="CI209" s="5">
        <v>0</v>
      </c>
      <c r="CJ209" s="5">
        <v>0</v>
      </c>
      <c r="CK209" s="5">
        <v>0</v>
      </c>
      <c r="CL209" s="5">
        <f>(CD209+CE209/2+CF209/8+CG209/16+CH209/4+CJ209/32+CK209/16)*39</f>
        <v>7.3125</v>
      </c>
      <c r="CM209" s="5">
        <v>0</v>
      </c>
      <c r="CN209" s="5">
        <v>0</v>
      </c>
      <c r="CO209" s="5">
        <v>0</v>
      </c>
      <c r="CP209" s="5">
        <v>0</v>
      </c>
      <c r="CQ209" s="5">
        <v>0</v>
      </c>
      <c r="CR209" t="s">
        <v>1080</v>
      </c>
      <c r="CS209">
        <f>18/12+2/12</f>
        <v>1.6666666666666667</v>
      </c>
      <c r="CT209">
        <v>0</v>
      </c>
      <c r="CU209">
        <v>0</v>
      </c>
      <c r="CV209">
        <v>0</v>
      </c>
      <c r="CW209">
        <f>CS209+CT209/24+CU209/48+CV209/48</f>
        <v>1.6666666666666667</v>
      </c>
      <c r="CX209">
        <v>0</v>
      </c>
      <c r="CZ209" t="s">
        <v>210</v>
      </c>
      <c r="DA209" t="s">
        <v>1081</v>
      </c>
      <c r="DB209" t="s">
        <v>405</v>
      </c>
      <c r="DC209" t="s">
        <v>1063</v>
      </c>
      <c r="DD209" t="s">
        <v>693</v>
      </c>
      <c r="DE209" t="s">
        <v>1065</v>
      </c>
      <c r="DF209" t="s">
        <v>1066</v>
      </c>
      <c r="DG209" t="s">
        <v>1064</v>
      </c>
    </row>
    <row r="210" spans="1:114" x14ac:dyDescent="0.25">
      <c r="A210">
        <v>781</v>
      </c>
      <c r="C210" t="s">
        <v>13</v>
      </c>
      <c r="D210" t="s">
        <v>919</v>
      </c>
      <c r="E210" t="s">
        <v>191</v>
      </c>
      <c r="H210" t="s">
        <v>920</v>
      </c>
      <c r="I210" t="s">
        <v>219</v>
      </c>
      <c r="J210">
        <v>1343</v>
      </c>
      <c r="K210" t="s">
        <v>383</v>
      </c>
      <c r="L210">
        <v>14</v>
      </c>
      <c r="M210" s="7" t="s">
        <v>338</v>
      </c>
      <c r="N210" t="s">
        <v>236</v>
      </c>
      <c r="O210" t="s">
        <v>201</v>
      </c>
      <c r="P210" t="s">
        <v>225</v>
      </c>
      <c r="Q210" s="19" t="s">
        <v>205</v>
      </c>
      <c r="R210" t="s">
        <v>205</v>
      </c>
      <c r="S210" t="s">
        <v>205</v>
      </c>
      <c r="T210" t="s">
        <v>225</v>
      </c>
      <c r="V210" t="s">
        <v>204</v>
      </c>
      <c r="W210" t="s">
        <v>205</v>
      </c>
      <c r="X210" t="s">
        <v>205</v>
      </c>
      <c r="Y210" t="s">
        <v>205</v>
      </c>
      <c r="Z210" t="s">
        <v>225</v>
      </c>
      <c r="AA210" t="s">
        <v>225</v>
      </c>
      <c r="AB210" t="s">
        <v>205</v>
      </c>
      <c r="AC210" t="s">
        <v>205</v>
      </c>
      <c r="AD210" t="s">
        <v>205</v>
      </c>
      <c r="AE210" t="s">
        <v>205</v>
      </c>
      <c r="AF210" t="s">
        <v>205</v>
      </c>
      <c r="AG210" t="s">
        <v>225</v>
      </c>
      <c r="AH210" t="s">
        <v>225</v>
      </c>
      <c r="AI210" t="s">
        <v>225</v>
      </c>
      <c r="AJ210" t="s">
        <v>225</v>
      </c>
      <c r="AK210" t="s">
        <v>225</v>
      </c>
      <c r="AL210" t="s">
        <v>225</v>
      </c>
      <c r="AM210" t="s">
        <v>225</v>
      </c>
      <c r="AN210" t="s">
        <v>225</v>
      </c>
      <c r="AO210" t="s">
        <v>225</v>
      </c>
      <c r="AP210" t="s">
        <v>225</v>
      </c>
      <c r="AQ210" t="s">
        <v>225</v>
      </c>
      <c r="AR210" t="s">
        <v>225</v>
      </c>
      <c r="AS210" t="s">
        <v>225</v>
      </c>
      <c r="AT210" t="s">
        <v>225</v>
      </c>
      <c r="AU210" t="s">
        <v>225</v>
      </c>
      <c r="AV210" t="s">
        <v>225</v>
      </c>
      <c r="AW210" t="s">
        <v>225</v>
      </c>
      <c r="AX210" t="s">
        <v>225</v>
      </c>
      <c r="AY210" t="s">
        <v>225</v>
      </c>
      <c r="AZ210" t="s">
        <v>225</v>
      </c>
      <c r="BA210" t="s">
        <v>225</v>
      </c>
      <c r="BB210" t="s">
        <v>225</v>
      </c>
      <c r="BC210" t="s">
        <v>225</v>
      </c>
      <c r="BD210" t="s">
        <v>225</v>
      </c>
      <c r="BE210" t="s">
        <v>225</v>
      </c>
      <c r="BF210" t="s">
        <v>225</v>
      </c>
      <c r="BG210" t="s">
        <v>225</v>
      </c>
      <c r="BH210" t="s">
        <v>225</v>
      </c>
      <c r="BI210" t="s">
        <v>225</v>
      </c>
      <c r="BJ210" t="s">
        <v>225</v>
      </c>
      <c r="BK210" t="s">
        <v>225</v>
      </c>
      <c r="BL210" t="s">
        <v>205</v>
      </c>
      <c r="BN210" t="s">
        <v>888</v>
      </c>
      <c r="BO210" t="s">
        <v>883</v>
      </c>
      <c r="BP210" t="s">
        <v>921</v>
      </c>
      <c r="BQ210" s="1" t="s">
        <v>929</v>
      </c>
      <c r="BR210" s="5">
        <v>2</v>
      </c>
      <c r="BS210" s="5">
        <v>0</v>
      </c>
      <c r="BT210" s="5">
        <v>0</v>
      </c>
      <c r="BU210" s="5">
        <f>(BS210/8+BT210/4)*39</f>
        <v>0</v>
      </c>
      <c r="BV210" s="5">
        <v>1</v>
      </c>
      <c r="BW210" s="5">
        <v>0</v>
      </c>
      <c r="BX210" s="5">
        <v>0</v>
      </c>
      <c r="BY210" s="5">
        <v>0</v>
      </c>
      <c r="BZ210" s="5">
        <v>1</v>
      </c>
      <c r="CA210" s="5">
        <v>0</v>
      </c>
      <c r="CB210" s="5">
        <v>0</v>
      </c>
      <c r="CC210" s="5">
        <f>(BV210+BW210/2+BX210/8+BY210/16+BZ210/4+CA210/32)*39</f>
        <v>48.75</v>
      </c>
      <c r="CD210" s="5">
        <v>0</v>
      </c>
      <c r="CE210" s="5">
        <v>1</v>
      </c>
      <c r="CF210" s="5">
        <v>0</v>
      </c>
      <c r="CG210" s="5">
        <v>0</v>
      </c>
      <c r="CH210" s="5">
        <v>0</v>
      </c>
      <c r="CI210" s="5">
        <v>0</v>
      </c>
      <c r="CJ210" s="5">
        <v>0</v>
      </c>
      <c r="CK210" s="5">
        <v>0</v>
      </c>
      <c r="CL210" s="5">
        <f>(CD210+CE210/2+CF210/8+CG210/16+CH210/4+CJ210/32+CK210/16)*39</f>
        <v>19.5</v>
      </c>
      <c r="CM210" s="5">
        <v>0</v>
      </c>
      <c r="CN210" s="5">
        <v>0</v>
      </c>
      <c r="CO210" s="5">
        <v>0</v>
      </c>
      <c r="CP210" s="5">
        <v>0</v>
      </c>
      <c r="CQ210" s="5">
        <v>0</v>
      </c>
      <c r="CR210" t="s">
        <v>902</v>
      </c>
      <c r="CS210">
        <f>11/12</f>
        <v>0.91666666666666663</v>
      </c>
      <c r="CT210">
        <v>0</v>
      </c>
      <c r="CU210">
        <v>0</v>
      </c>
      <c r="CV210">
        <v>0</v>
      </c>
      <c r="CW210">
        <f>CS210+CT210/24+CU210/48+CV210/48</f>
        <v>0.91666666666666663</v>
      </c>
      <c r="CX210">
        <v>0</v>
      </c>
      <c r="CZ210" t="s">
        <v>210</v>
      </c>
      <c r="DB210" t="s">
        <v>748</v>
      </c>
      <c r="DC210" t="s">
        <v>262</v>
      </c>
      <c r="DD210" t="s">
        <v>693</v>
      </c>
      <c r="DE210" t="s">
        <v>926</v>
      </c>
      <c r="DF210" t="s">
        <v>927</v>
      </c>
      <c r="DG210" t="s">
        <v>928</v>
      </c>
      <c r="DJ210" t="s">
        <v>483</v>
      </c>
    </row>
    <row r="211" spans="1:114" x14ac:dyDescent="0.25">
      <c r="A211">
        <v>883</v>
      </c>
      <c r="C211" t="s">
        <v>465</v>
      </c>
      <c r="D211" t="s">
        <v>130</v>
      </c>
      <c r="E211" t="s">
        <v>3903</v>
      </c>
      <c r="F211" t="s">
        <v>3913</v>
      </c>
      <c r="G211" t="s">
        <v>3914</v>
      </c>
      <c r="I211" t="s">
        <v>219</v>
      </c>
      <c r="J211">
        <v>1343</v>
      </c>
      <c r="K211" t="s">
        <v>1097</v>
      </c>
      <c r="L211">
        <v>1</v>
      </c>
      <c r="M211" s="7" t="s">
        <v>338</v>
      </c>
      <c r="W211" t="s">
        <v>225</v>
      </c>
      <c r="X211" t="s">
        <v>225</v>
      </c>
      <c r="Y211" t="s">
        <v>205</v>
      </c>
      <c r="Z211" t="s">
        <v>225</v>
      </c>
      <c r="AA211" t="s">
        <v>225</v>
      </c>
      <c r="AB211" t="s">
        <v>225</v>
      </c>
      <c r="AC211" t="s">
        <v>225</v>
      </c>
      <c r="AD211" t="s">
        <v>225</v>
      </c>
      <c r="AE211" t="s">
        <v>225</v>
      </c>
      <c r="AF211" t="s">
        <v>225</v>
      </c>
      <c r="AG211" t="s">
        <v>225</v>
      </c>
      <c r="AH211" t="s">
        <v>225</v>
      </c>
      <c r="AI211" t="s">
        <v>225</v>
      </c>
      <c r="AJ211" t="s">
        <v>225</v>
      </c>
      <c r="AK211" t="s">
        <v>205</v>
      </c>
      <c r="AL211" t="s">
        <v>225</v>
      </c>
      <c r="AM211" t="s">
        <v>225</v>
      </c>
      <c r="AN211" t="s">
        <v>225</v>
      </c>
      <c r="AO211" t="s">
        <v>225</v>
      </c>
      <c r="AP211" t="s">
        <v>225</v>
      </c>
      <c r="AQ211" t="s">
        <v>225</v>
      </c>
      <c r="AR211" t="s">
        <v>225</v>
      </c>
      <c r="AS211" t="s">
        <v>225</v>
      </c>
      <c r="AT211" t="s">
        <v>225</v>
      </c>
      <c r="AU211" t="s">
        <v>225</v>
      </c>
      <c r="AV211" t="s">
        <v>225</v>
      </c>
      <c r="AW211" t="s">
        <v>225</v>
      </c>
      <c r="AX211" t="s">
        <v>225</v>
      </c>
      <c r="AY211" t="s">
        <v>225</v>
      </c>
      <c r="AZ211" t="s">
        <v>225</v>
      </c>
      <c r="BA211" t="s">
        <v>225</v>
      </c>
      <c r="BB211" t="s">
        <v>225</v>
      </c>
      <c r="BC211" t="s">
        <v>225</v>
      </c>
      <c r="BD211" t="s">
        <v>225</v>
      </c>
      <c r="BE211" t="s">
        <v>225</v>
      </c>
      <c r="BF211" t="s">
        <v>225</v>
      </c>
      <c r="BG211" t="s">
        <v>225</v>
      </c>
      <c r="BH211" t="s">
        <v>225</v>
      </c>
      <c r="BI211" t="s">
        <v>225</v>
      </c>
      <c r="BJ211" t="s">
        <v>225</v>
      </c>
      <c r="BK211" t="s">
        <v>225</v>
      </c>
      <c r="BL211" t="s">
        <v>225</v>
      </c>
      <c r="BO211" t="s">
        <v>1144</v>
      </c>
      <c r="BQ211" t="s">
        <v>1455</v>
      </c>
      <c r="BR211" s="5">
        <v>0</v>
      </c>
      <c r="BS211" s="5">
        <v>0</v>
      </c>
      <c r="BT211" s="5">
        <v>0</v>
      </c>
      <c r="BU211" s="5">
        <f>(BS211/8+BT211/4)*39</f>
        <v>0</v>
      </c>
      <c r="BV211" s="5">
        <v>0</v>
      </c>
      <c r="BW211" s="5">
        <v>0</v>
      </c>
      <c r="BX211" s="5">
        <v>0</v>
      </c>
      <c r="BY211" s="5">
        <v>0</v>
      </c>
      <c r="BZ211" s="5">
        <v>0</v>
      </c>
      <c r="CA211" s="5">
        <v>0</v>
      </c>
      <c r="CB211" s="5">
        <v>0</v>
      </c>
      <c r="CC211" s="5">
        <f>(BV211+BW211/2+BX211/8+BY211/16+BZ211/4+CA211/32)*39</f>
        <v>0</v>
      </c>
      <c r="CD211" s="5">
        <v>0</v>
      </c>
      <c r="CE211" s="5">
        <v>0</v>
      </c>
      <c r="CF211" s="5">
        <v>1</v>
      </c>
      <c r="CG211" s="5">
        <v>0</v>
      </c>
      <c r="CH211" s="5">
        <v>0</v>
      </c>
      <c r="CI211" s="5">
        <v>0</v>
      </c>
      <c r="CJ211" s="5">
        <v>0</v>
      </c>
      <c r="CK211" s="5">
        <v>0</v>
      </c>
      <c r="CL211" s="5">
        <f>(CD211+CE211/2+CF211/8+CG211/16+CH211/4+CJ211/32+CK211/16)*39</f>
        <v>4.875</v>
      </c>
      <c r="CM211" s="5">
        <v>0</v>
      </c>
      <c r="CN211" s="5">
        <v>0</v>
      </c>
      <c r="CO211" s="5">
        <v>0</v>
      </c>
      <c r="CP211" s="5">
        <v>0</v>
      </c>
      <c r="CQ211" s="5">
        <v>0</v>
      </c>
      <c r="CS211">
        <v>0</v>
      </c>
      <c r="CT211">
        <v>0</v>
      </c>
      <c r="CU211">
        <v>0</v>
      </c>
      <c r="CV211">
        <v>0</v>
      </c>
      <c r="CW211">
        <f>CS211+CT211/24+CU211/48+CV211/48</f>
        <v>0</v>
      </c>
      <c r="CX211">
        <v>0</v>
      </c>
      <c r="CZ211" t="s">
        <v>210</v>
      </c>
      <c r="DC211" t="s">
        <v>1340</v>
      </c>
      <c r="DD211" t="s">
        <v>693</v>
      </c>
      <c r="DE211" t="s">
        <v>542</v>
      </c>
      <c r="DF211" t="s">
        <v>1145</v>
      </c>
      <c r="DG211" t="s">
        <v>1146</v>
      </c>
    </row>
    <row r="212" spans="1:114" x14ac:dyDescent="0.25">
      <c r="A212">
        <v>1171</v>
      </c>
      <c r="C212" t="s">
        <v>465</v>
      </c>
      <c r="D212" t="s">
        <v>130</v>
      </c>
      <c r="E212" t="s">
        <v>1565</v>
      </c>
      <c r="G212" t="s">
        <v>1564</v>
      </c>
      <c r="I212" t="s">
        <v>219</v>
      </c>
      <c r="J212">
        <v>1343</v>
      </c>
      <c r="K212" t="s">
        <v>1097</v>
      </c>
      <c r="L212">
        <v>13</v>
      </c>
      <c r="M212" s="7" t="s">
        <v>338</v>
      </c>
      <c r="N212" t="s">
        <v>986</v>
      </c>
      <c r="W212" t="s">
        <v>225</v>
      </c>
      <c r="X212" t="s">
        <v>225</v>
      </c>
      <c r="Y212">
        <v>1</v>
      </c>
      <c r="Z212" t="s">
        <v>225</v>
      </c>
      <c r="AA212" t="s">
        <v>225</v>
      </c>
      <c r="AB212" t="s">
        <v>225</v>
      </c>
      <c r="AC212" t="s">
        <v>225</v>
      </c>
      <c r="AD212" t="s">
        <v>225</v>
      </c>
      <c r="AE212" t="s">
        <v>225</v>
      </c>
      <c r="AF212" t="s">
        <v>225</v>
      </c>
      <c r="AG212" t="s">
        <v>225</v>
      </c>
      <c r="AH212" t="s">
        <v>225</v>
      </c>
      <c r="AI212" t="s">
        <v>225</v>
      </c>
      <c r="AJ212" t="s">
        <v>225</v>
      </c>
      <c r="AK212" t="s">
        <v>225</v>
      </c>
      <c r="AL212" t="s">
        <v>225</v>
      </c>
      <c r="AM212" t="s">
        <v>225</v>
      </c>
      <c r="AN212" t="s">
        <v>225</v>
      </c>
      <c r="AO212" t="s">
        <v>225</v>
      </c>
      <c r="AP212" t="s">
        <v>225</v>
      </c>
      <c r="AQ212" t="s">
        <v>225</v>
      </c>
      <c r="AR212" t="s">
        <v>225</v>
      </c>
      <c r="AS212" t="s">
        <v>225</v>
      </c>
      <c r="AT212" t="s">
        <v>225</v>
      </c>
      <c r="AU212" t="s">
        <v>225</v>
      </c>
      <c r="AV212" t="s">
        <v>225</v>
      </c>
      <c r="AW212" t="s">
        <v>225</v>
      </c>
      <c r="AX212" t="s">
        <v>225</v>
      </c>
      <c r="AY212" t="s">
        <v>225</v>
      </c>
      <c r="AZ212" t="s">
        <v>225</v>
      </c>
      <c r="BA212" t="s">
        <v>225</v>
      </c>
      <c r="BB212" t="s">
        <v>225</v>
      </c>
      <c r="BC212" t="s">
        <v>225</v>
      </c>
      <c r="BD212" t="s">
        <v>225</v>
      </c>
      <c r="BE212" t="s">
        <v>225</v>
      </c>
      <c r="BF212" t="s">
        <v>225</v>
      </c>
      <c r="BG212" t="s">
        <v>225</v>
      </c>
      <c r="BH212" t="s">
        <v>225</v>
      </c>
      <c r="BI212" t="s">
        <v>225</v>
      </c>
      <c r="BJ212" t="s">
        <v>225</v>
      </c>
      <c r="BK212" t="s">
        <v>225</v>
      </c>
      <c r="BL212" t="s">
        <v>225</v>
      </c>
      <c r="BN212" t="s">
        <v>398</v>
      </c>
      <c r="BR212" s="5">
        <v>0</v>
      </c>
      <c r="BS212" s="5">
        <v>0</v>
      </c>
      <c r="BT212" s="5">
        <v>0</v>
      </c>
      <c r="BU212" s="5">
        <f>(BS212/8+BT212/4)*39</f>
        <v>0</v>
      </c>
      <c r="BV212" s="5">
        <v>0</v>
      </c>
      <c r="BW212" s="5">
        <v>0</v>
      </c>
      <c r="BX212" s="5">
        <v>0</v>
      </c>
      <c r="BY212" s="5">
        <v>0</v>
      </c>
      <c r="BZ212" s="5">
        <v>0</v>
      </c>
      <c r="CA212" s="5">
        <v>0</v>
      </c>
      <c r="CB212" s="5">
        <v>0</v>
      </c>
      <c r="CC212" s="5">
        <f>(BV212+BW212/2+BX212/8+BY212/16+BZ212/4+CA212/32)*39</f>
        <v>0</v>
      </c>
      <c r="CD212" s="5">
        <v>0</v>
      </c>
      <c r="CE212" s="5">
        <v>0</v>
      </c>
      <c r="CF212" s="5">
        <v>0</v>
      </c>
      <c r="CG212" s="5">
        <v>0</v>
      </c>
      <c r="CH212" s="5">
        <v>0</v>
      </c>
      <c r="CI212" s="5">
        <v>0</v>
      </c>
      <c r="CJ212" s="5">
        <v>0</v>
      </c>
      <c r="CK212" s="5">
        <v>0</v>
      </c>
      <c r="CL212" s="5">
        <f>(CD212+CE212/2+CF212/8+CG212/16+CH212/4+CJ212/32+CK212/16)*39</f>
        <v>0</v>
      </c>
      <c r="CM212" s="5">
        <v>0</v>
      </c>
      <c r="CN212" s="5">
        <v>0</v>
      </c>
      <c r="CO212" s="5">
        <v>0</v>
      </c>
      <c r="CP212" s="5">
        <v>0</v>
      </c>
      <c r="CQ212" s="5">
        <v>0</v>
      </c>
      <c r="CR212" t="s">
        <v>398</v>
      </c>
      <c r="CS212">
        <f>4/12</f>
        <v>0.33333333333333331</v>
      </c>
      <c r="CT212">
        <v>1</v>
      </c>
      <c r="CU212">
        <v>0</v>
      </c>
      <c r="CV212">
        <v>0</v>
      </c>
      <c r="CW212">
        <f>CS212+CT212/24+CU212/48+CV212/48</f>
        <v>0.375</v>
      </c>
      <c r="CX212">
        <v>0</v>
      </c>
      <c r="CZ212" t="s">
        <v>210</v>
      </c>
      <c r="DC212" t="s">
        <v>1569</v>
      </c>
      <c r="DD212" t="s">
        <v>693</v>
      </c>
      <c r="DE212" t="s">
        <v>542</v>
      </c>
      <c r="DF212" t="s">
        <v>1570</v>
      </c>
      <c r="DG212" t="s">
        <v>1571</v>
      </c>
    </row>
    <row r="213" spans="1:114" x14ac:dyDescent="0.25">
      <c r="A213">
        <v>231</v>
      </c>
      <c r="C213" t="s">
        <v>104</v>
      </c>
      <c r="D213" t="s">
        <v>196</v>
      </c>
      <c r="E213" t="s">
        <v>197</v>
      </c>
      <c r="I213" t="s">
        <v>219</v>
      </c>
      <c r="J213">
        <v>1343</v>
      </c>
      <c r="K213" t="s">
        <v>198</v>
      </c>
      <c r="L213">
        <v>31</v>
      </c>
      <c r="M213" t="s">
        <v>199</v>
      </c>
      <c r="N213" t="s">
        <v>236</v>
      </c>
      <c r="O213" t="s">
        <v>201</v>
      </c>
      <c r="P213" t="s">
        <v>225</v>
      </c>
      <c r="Q213" t="s">
        <v>205</v>
      </c>
      <c r="R213" t="s">
        <v>205</v>
      </c>
      <c r="S213" t="s">
        <v>205</v>
      </c>
      <c r="T213" t="s">
        <v>225</v>
      </c>
      <c r="V213" t="s">
        <v>204</v>
      </c>
      <c r="W213">
        <v>1</v>
      </c>
      <c r="X213" t="s">
        <v>205</v>
      </c>
      <c r="Y213" t="s">
        <v>205</v>
      </c>
      <c r="Z213" t="s">
        <v>205</v>
      </c>
      <c r="AA213" t="s">
        <v>205</v>
      </c>
      <c r="AB213" t="s">
        <v>225</v>
      </c>
      <c r="AC213" t="s">
        <v>225</v>
      </c>
      <c r="AD213" t="s">
        <v>225</v>
      </c>
      <c r="AE213" t="s">
        <v>225</v>
      </c>
      <c r="AF213" t="s">
        <v>225</v>
      </c>
      <c r="AG213" t="s">
        <v>225</v>
      </c>
      <c r="AH213" t="s">
        <v>225</v>
      </c>
      <c r="AI213" t="s">
        <v>225</v>
      </c>
      <c r="AJ213" t="s">
        <v>225</v>
      </c>
      <c r="AK213" t="s">
        <v>225</v>
      </c>
      <c r="AL213" t="s">
        <v>225</v>
      </c>
      <c r="AM213" t="s">
        <v>225</v>
      </c>
      <c r="AN213" t="s">
        <v>225</v>
      </c>
      <c r="AO213" t="s">
        <v>225</v>
      </c>
      <c r="AP213" t="s">
        <v>225</v>
      </c>
      <c r="AQ213" t="s">
        <v>225</v>
      </c>
      <c r="AR213" t="s">
        <v>225</v>
      </c>
      <c r="AS213" t="s">
        <v>225</v>
      </c>
      <c r="AT213" t="s">
        <v>225</v>
      </c>
      <c r="AU213" t="s">
        <v>225</v>
      </c>
      <c r="AV213" t="s">
        <v>225</v>
      </c>
      <c r="AW213" t="s">
        <v>225</v>
      </c>
      <c r="AX213" t="s">
        <v>225</v>
      </c>
      <c r="AY213" t="s">
        <v>225</v>
      </c>
      <c r="AZ213" t="s">
        <v>225</v>
      </c>
      <c r="BA213" t="s">
        <v>225</v>
      </c>
      <c r="BB213" t="s">
        <v>225</v>
      </c>
      <c r="BC213" t="s">
        <v>225</v>
      </c>
      <c r="BD213" t="s">
        <v>225</v>
      </c>
      <c r="BE213" t="s">
        <v>225</v>
      </c>
      <c r="BF213" t="s">
        <v>225</v>
      </c>
      <c r="BG213" t="s">
        <v>225</v>
      </c>
      <c r="BH213" t="s">
        <v>225</v>
      </c>
      <c r="BI213" t="s">
        <v>225</v>
      </c>
      <c r="BJ213" t="s">
        <v>225</v>
      </c>
      <c r="BK213" t="s">
        <v>225</v>
      </c>
      <c r="BL213" t="s">
        <v>205</v>
      </c>
      <c r="BO213" t="s">
        <v>197</v>
      </c>
      <c r="BP213" t="s">
        <v>460</v>
      </c>
      <c r="BQ213" t="s">
        <v>3563</v>
      </c>
      <c r="BR213">
        <v>1</v>
      </c>
      <c r="BS213">
        <v>0</v>
      </c>
      <c r="BT213">
        <v>0</v>
      </c>
      <c r="BU213" s="5">
        <f>(BS213/8+BT213/4)*39</f>
        <v>0</v>
      </c>
      <c r="BV213">
        <v>0</v>
      </c>
      <c r="BW213">
        <v>0</v>
      </c>
      <c r="BX213">
        <v>0</v>
      </c>
      <c r="BY213">
        <v>0</v>
      </c>
      <c r="BZ213">
        <v>1</v>
      </c>
      <c r="CA213">
        <v>0</v>
      </c>
      <c r="CB213">
        <v>0</v>
      </c>
      <c r="CC213" s="5">
        <f>(BV213+BW213/2+BX213/8+BY213/16+BZ213/4+CA213/32)*39</f>
        <v>9.75</v>
      </c>
      <c r="CD213">
        <v>0</v>
      </c>
      <c r="CE213">
        <v>0</v>
      </c>
      <c r="CF213">
        <v>0.5</v>
      </c>
      <c r="CG213">
        <v>0</v>
      </c>
      <c r="CH213">
        <v>0</v>
      </c>
      <c r="CI213">
        <v>0</v>
      </c>
      <c r="CJ213">
        <v>0</v>
      </c>
      <c r="CK213">
        <v>0</v>
      </c>
      <c r="CL213" s="5">
        <f>(CD213+CE213/2+CF213/8+CG213/16+CH213/4+CJ213/32+CK213/16)*39</f>
        <v>2.4375</v>
      </c>
      <c r="CM213">
        <v>0</v>
      </c>
      <c r="CN213">
        <v>0</v>
      </c>
      <c r="CO213">
        <v>0</v>
      </c>
      <c r="CP213">
        <v>1</v>
      </c>
      <c r="CQ213">
        <v>0</v>
      </c>
      <c r="CS213">
        <v>5</v>
      </c>
      <c r="CT213">
        <v>0</v>
      </c>
      <c r="CU213">
        <v>0</v>
      </c>
      <c r="CV213">
        <v>0</v>
      </c>
      <c r="CW213">
        <f>CS213+CT213/24+CU213/48+CV213/48</f>
        <v>5</v>
      </c>
      <c r="CX213">
        <v>0</v>
      </c>
      <c r="CY213" t="s">
        <v>248</v>
      </c>
      <c r="CZ213" t="s">
        <v>210</v>
      </c>
      <c r="DA213" t="s">
        <v>229</v>
      </c>
      <c r="DB213" t="s">
        <v>231</v>
      </c>
      <c r="DC213" t="s">
        <v>262</v>
      </c>
      <c r="DD213" t="s">
        <v>693</v>
      </c>
      <c r="DE213" t="s">
        <v>213</v>
      </c>
      <c r="DF213" t="s">
        <v>216</v>
      </c>
    </row>
    <row r="214" spans="1:114" x14ac:dyDescent="0.25">
      <c r="A214">
        <v>841</v>
      </c>
      <c r="B214" t="s">
        <v>788</v>
      </c>
      <c r="C214" t="s">
        <v>138</v>
      </c>
      <c r="D214" t="s">
        <v>3792</v>
      </c>
      <c r="E214" t="s">
        <v>776</v>
      </c>
      <c r="I214" t="s">
        <v>219</v>
      </c>
      <c r="J214">
        <v>1343</v>
      </c>
      <c r="K214" t="s">
        <v>1038</v>
      </c>
      <c r="L214" s="5">
        <v>23</v>
      </c>
      <c r="M214" s="7" t="s">
        <v>338</v>
      </c>
      <c r="N214" t="s">
        <v>1052</v>
      </c>
      <c r="V214" t="s">
        <v>204</v>
      </c>
      <c r="W214" t="s">
        <v>225</v>
      </c>
      <c r="X214" t="s">
        <v>225</v>
      </c>
      <c r="Y214">
        <v>1</v>
      </c>
      <c r="Z214" t="s">
        <v>225</v>
      </c>
      <c r="AA214" t="s">
        <v>225</v>
      </c>
      <c r="AB214" t="s">
        <v>225</v>
      </c>
      <c r="AC214" t="s">
        <v>225</v>
      </c>
      <c r="AD214" t="s">
        <v>225</v>
      </c>
      <c r="AE214" t="s">
        <v>225</v>
      </c>
      <c r="AF214" t="s">
        <v>225</v>
      </c>
      <c r="AG214" t="s">
        <v>225</v>
      </c>
      <c r="AH214" t="s">
        <v>225</v>
      </c>
      <c r="AI214" t="s">
        <v>225</v>
      </c>
      <c r="AJ214" t="s">
        <v>225</v>
      </c>
      <c r="AK214" t="s">
        <v>225</v>
      </c>
      <c r="AL214" t="s">
        <v>225</v>
      </c>
      <c r="AM214" t="s">
        <v>225</v>
      </c>
      <c r="AN214" t="s">
        <v>225</v>
      </c>
      <c r="AO214" t="s">
        <v>225</v>
      </c>
      <c r="AP214" t="s">
        <v>225</v>
      </c>
      <c r="AQ214" t="s">
        <v>225</v>
      </c>
      <c r="AR214" t="s">
        <v>225</v>
      </c>
      <c r="AS214" t="s">
        <v>225</v>
      </c>
      <c r="AT214" t="s">
        <v>225</v>
      </c>
      <c r="AU214" t="s">
        <v>225</v>
      </c>
      <c r="AV214" t="s">
        <v>225</v>
      </c>
      <c r="AW214" t="s">
        <v>225</v>
      </c>
      <c r="AX214" t="s">
        <v>225</v>
      </c>
      <c r="AY214" t="s">
        <v>225</v>
      </c>
      <c r="AZ214" t="s">
        <v>225</v>
      </c>
      <c r="BA214" t="s">
        <v>225</v>
      </c>
      <c r="BB214" t="s">
        <v>225</v>
      </c>
      <c r="BC214" t="s">
        <v>225</v>
      </c>
      <c r="BD214" t="s">
        <v>225</v>
      </c>
      <c r="BE214" t="s">
        <v>225</v>
      </c>
      <c r="BF214" t="s">
        <v>225</v>
      </c>
      <c r="BG214" t="s">
        <v>225</v>
      </c>
      <c r="BH214" t="s">
        <v>225</v>
      </c>
      <c r="BI214" t="s">
        <v>225</v>
      </c>
      <c r="BJ214" t="s">
        <v>225</v>
      </c>
      <c r="BK214" t="s">
        <v>225</v>
      </c>
      <c r="BL214" t="s">
        <v>225</v>
      </c>
      <c r="BN214" t="s">
        <v>398</v>
      </c>
      <c r="BR214" s="5">
        <v>0</v>
      </c>
      <c r="BS214" s="5">
        <v>0</v>
      </c>
      <c r="BT214" s="5">
        <v>0</v>
      </c>
      <c r="BU214" s="5">
        <f>(BS214/8+BT214/4)*39</f>
        <v>0</v>
      </c>
      <c r="BV214" s="5">
        <v>0</v>
      </c>
      <c r="BW214" s="5">
        <v>0</v>
      </c>
      <c r="BX214" s="5">
        <v>0</v>
      </c>
      <c r="BY214" s="5">
        <v>0</v>
      </c>
      <c r="BZ214" s="5">
        <v>0</v>
      </c>
      <c r="CA214" s="5">
        <v>0</v>
      </c>
      <c r="CB214" s="5">
        <v>0</v>
      </c>
      <c r="CC214" s="5">
        <f>(BV214+BW214/2+BX214/8+BY214/16+BZ214/4+CA214/32)*39</f>
        <v>0</v>
      </c>
      <c r="CD214" s="5">
        <v>0</v>
      </c>
      <c r="CE214" s="5">
        <v>0</v>
      </c>
      <c r="CF214" s="5">
        <v>0</v>
      </c>
      <c r="CG214" s="5">
        <v>0</v>
      </c>
      <c r="CH214" s="5">
        <v>0</v>
      </c>
      <c r="CI214" s="5">
        <v>0</v>
      </c>
      <c r="CJ214" s="5">
        <v>0</v>
      </c>
      <c r="CK214" s="5">
        <v>0</v>
      </c>
      <c r="CL214" s="5">
        <f>(CD214+CE214/2+CF214/8+CG214/16+CH214/4+CJ214/32+CK214/16)*39</f>
        <v>0</v>
      </c>
      <c r="CM214" s="5">
        <v>0</v>
      </c>
      <c r="CN214" s="5">
        <v>0</v>
      </c>
      <c r="CO214" s="5">
        <v>0</v>
      </c>
      <c r="CP214" s="5">
        <v>0</v>
      </c>
      <c r="CQ214" s="5">
        <v>0</v>
      </c>
      <c r="CR214" t="s">
        <v>398</v>
      </c>
      <c r="CS214">
        <f>8/12</f>
        <v>0.66666666666666663</v>
      </c>
      <c r="CT214">
        <v>0</v>
      </c>
      <c r="CU214">
        <v>0</v>
      </c>
      <c r="CV214">
        <v>0</v>
      </c>
      <c r="CW214">
        <f>CS214+CT214/24+CU214/48+CV214/48</f>
        <v>0.66666666666666663</v>
      </c>
      <c r="CX214">
        <v>0</v>
      </c>
      <c r="CZ214" t="s">
        <v>210</v>
      </c>
      <c r="DA214" t="s">
        <v>589</v>
      </c>
      <c r="DB214" t="s">
        <v>405</v>
      </c>
      <c r="DC214" t="s">
        <v>262</v>
      </c>
      <c r="DD214" t="s">
        <v>693</v>
      </c>
      <c r="DE214" t="s">
        <v>1047</v>
      </c>
      <c r="DF214" t="s">
        <v>1048</v>
      </c>
      <c r="DG214" t="s">
        <v>1049</v>
      </c>
      <c r="DJ214" t="s">
        <v>483</v>
      </c>
    </row>
    <row r="215" spans="1:114" x14ac:dyDescent="0.25">
      <c r="A215">
        <v>842</v>
      </c>
      <c r="B215" t="s">
        <v>788</v>
      </c>
      <c r="C215" t="s">
        <v>50</v>
      </c>
      <c r="D215" t="s">
        <v>3792</v>
      </c>
      <c r="E215" t="s">
        <v>776</v>
      </c>
      <c r="I215" t="s">
        <v>219</v>
      </c>
      <c r="J215">
        <v>1343</v>
      </c>
      <c r="K215" t="s">
        <v>1038</v>
      </c>
      <c r="L215" s="5">
        <v>23</v>
      </c>
      <c r="M215" s="7" t="s">
        <v>338</v>
      </c>
      <c r="V215" t="s">
        <v>204</v>
      </c>
      <c r="W215" t="s">
        <v>225</v>
      </c>
      <c r="X215" t="s">
        <v>225</v>
      </c>
      <c r="Y215">
        <v>1</v>
      </c>
      <c r="Z215" t="s">
        <v>225</v>
      </c>
      <c r="AA215" t="s">
        <v>225</v>
      </c>
      <c r="AB215" t="s">
        <v>225</v>
      </c>
      <c r="AC215" t="s">
        <v>225</v>
      </c>
      <c r="AD215" t="s">
        <v>225</v>
      </c>
      <c r="AE215" t="s">
        <v>225</v>
      </c>
      <c r="AF215" t="s">
        <v>225</v>
      </c>
      <c r="AG215" t="s">
        <v>225</v>
      </c>
      <c r="AH215" t="s">
        <v>225</v>
      </c>
      <c r="AI215" t="s">
        <v>225</v>
      </c>
      <c r="AJ215" t="s">
        <v>225</v>
      </c>
      <c r="AK215" t="s">
        <v>225</v>
      </c>
      <c r="AL215" t="s">
        <v>225</v>
      </c>
      <c r="AM215" t="s">
        <v>225</v>
      </c>
      <c r="AN215" t="s">
        <v>225</v>
      </c>
      <c r="AO215" t="s">
        <v>225</v>
      </c>
      <c r="AP215" t="s">
        <v>225</v>
      </c>
      <c r="AQ215" t="s">
        <v>225</v>
      </c>
      <c r="AR215" t="s">
        <v>225</v>
      </c>
      <c r="AS215" t="s">
        <v>225</v>
      </c>
      <c r="AT215" t="s">
        <v>225</v>
      </c>
      <c r="AU215" t="s">
        <v>225</v>
      </c>
      <c r="AV215" t="s">
        <v>225</v>
      </c>
      <c r="AW215" t="s">
        <v>225</v>
      </c>
      <c r="AX215" t="s">
        <v>225</v>
      </c>
      <c r="AY215" t="s">
        <v>225</v>
      </c>
      <c r="AZ215" t="s">
        <v>225</v>
      </c>
      <c r="BA215" t="s">
        <v>225</v>
      </c>
      <c r="BB215" t="s">
        <v>225</v>
      </c>
      <c r="BC215" t="s">
        <v>225</v>
      </c>
      <c r="BD215" t="s">
        <v>225</v>
      </c>
      <c r="BE215" t="s">
        <v>225</v>
      </c>
      <c r="BF215" t="s">
        <v>225</v>
      </c>
      <c r="BG215" t="s">
        <v>225</v>
      </c>
      <c r="BH215" t="s">
        <v>225</v>
      </c>
      <c r="BI215" t="s">
        <v>225</v>
      </c>
      <c r="BJ215" t="s">
        <v>225</v>
      </c>
      <c r="BK215" t="s">
        <v>225</v>
      </c>
      <c r="BL215" t="s">
        <v>225</v>
      </c>
      <c r="BN215" t="s">
        <v>398</v>
      </c>
      <c r="BR215" s="5">
        <v>0</v>
      </c>
      <c r="BS215" s="5">
        <v>0</v>
      </c>
      <c r="BT215" s="5">
        <v>0</v>
      </c>
      <c r="BU215" s="5">
        <f>(BS215/8+BT215/4)*39</f>
        <v>0</v>
      </c>
      <c r="BV215" s="5">
        <v>0</v>
      </c>
      <c r="BW215" s="5">
        <v>0</v>
      </c>
      <c r="BX215" s="5">
        <v>0</v>
      </c>
      <c r="BY215" s="5">
        <v>0</v>
      </c>
      <c r="BZ215" s="5">
        <v>0</v>
      </c>
      <c r="CA215" s="5">
        <v>0</v>
      </c>
      <c r="CB215" s="5">
        <v>0</v>
      </c>
      <c r="CC215" s="5">
        <f>(BV215+BW215/2+BX215/8+BY215/16+BZ215/4+CA215/32)*39</f>
        <v>0</v>
      </c>
      <c r="CD215" s="5">
        <v>0</v>
      </c>
      <c r="CE215" s="5">
        <v>0</v>
      </c>
      <c r="CF215" s="5">
        <v>0</v>
      </c>
      <c r="CG215" s="5">
        <v>0</v>
      </c>
      <c r="CH215" s="5">
        <v>0</v>
      </c>
      <c r="CI215" s="5">
        <v>0</v>
      </c>
      <c r="CJ215" s="5">
        <v>0</v>
      </c>
      <c r="CK215" s="5">
        <v>0</v>
      </c>
      <c r="CL215" s="5">
        <f>(CD215+CE215/2+CF215/8+CG215/16+CH215/4+CJ215/32+CK215/16)*39</f>
        <v>0</v>
      </c>
      <c r="CM215" s="5">
        <v>0</v>
      </c>
      <c r="CN215" s="5">
        <v>0</v>
      </c>
      <c r="CO215" s="5">
        <v>0</v>
      </c>
      <c r="CP215" s="5">
        <v>0</v>
      </c>
      <c r="CQ215" s="5">
        <v>0</v>
      </c>
      <c r="CR215" t="s">
        <v>398</v>
      </c>
      <c r="CS215">
        <f>4/12</f>
        <v>0.33333333333333331</v>
      </c>
      <c r="CT215">
        <v>0</v>
      </c>
      <c r="CU215">
        <v>0</v>
      </c>
      <c r="CV215">
        <v>0</v>
      </c>
      <c r="CW215">
        <f>CS215+CT215/24+CU215/48+CV215/48</f>
        <v>0.33333333333333331</v>
      </c>
      <c r="CX215">
        <v>0</v>
      </c>
      <c r="CZ215" t="s">
        <v>210</v>
      </c>
      <c r="DB215" t="s">
        <v>748</v>
      </c>
      <c r="DC215" t="s">
        <v>262</v>
      </c>
      <c r="DD215" t="s">
        <v>693</v>
      </c>
      <c r="DE215" t="s">
        <v>1047</v>
      </c>
      <c r="DF215" t="s">
        <v>1048</v>
      </c>
      <c r="DG215" t="s">
        <v>1049</v>
      </c>
    </row>
    <row r="216" spans="1:114" x14ac:dyDescent="0.25">
      <c r="A216">
        <v>843</v>
      </c>
      <c r="B216" t="s">
        <v>788</v>
      </c>
      <c r="C216" t="s">
        <v>465</v>
      </c>
      <c r="D216" t="s">
        <v>3792</v>
      </c>
      <c r="E216" t="s">
        <v>776</v>
      </c>
      <c r="I216" t="s">
        <v>219</v>
      </c>
      <c r="J216">
        <v>1343</v>
      </c>
      <c r="K216" t="s">
        <v>1038</v>
      </c>
      <c r="L216" s="5">
        <v>23</v>
      </c>
      <c r="M216" s="7" t="s">
        <v>338</v>
      </c>
      <c r="N216" t="s">
        <v>1052</v>
      </c>
      <c r="V216" t="s">
        <v>204</v>
      </c>
      <c r="W216" t="s">
        <v>225</v>
      </c>
      <c r="X216" t="s">
        <v>225</v>
      </c>
      <c r="Y216">
        <v>1</v>
      </c>
      <c r="Z216" t="s">
        <v>225</v>
      </c>
      <c r="AA216" t="s">
        <v>225</v>
      </c>
      <c r="AB216" t="s">
        <v>225</v>
      </c>
      <c r="AC216" t="s">
        <v>225</v>
      </c>
      <c r="AD216" t="s">
        <v>225</v>
      </c>
      <c r="AE216" t="s">
        <v>225</v>
      </c>
      <c r="AF216" t="s">
        <v>225</v>
      </c>
      <c r="AG216" t="s">
        <v>225</v>
      </c>
      <c r="AH216" t="s">
        <v>225</v>
      </c>
      <c r="AI216" t="s">
        <v>225</v>
      </c>
      <c r="AJ216" t="s">
        <v>225</v>
      </c>
      <c r="AK216" t="s">
        <v>225</v>
      </c>
      <c r="AL216" t="s">
        <v>225</v>
      </c>
      <c r="AM216" t="s">
        <v>225</v>
      </c>
      <c r="AN216" t="s">
        <v>225</v>
      </c>
      <c r="AO216" t="s">
        <v>225</v>
      </c>
      <c r="AP216" t="s">
        <v>225</v>
      </c>
      <c r="AQ216" t="s">
        <v>225</v>
      </c>
      <c r="AR216" t="s">
        <v>225</v>
      </c>
      <c r="AS216" t="s">
        <v>225</v>
      </c>
      <c r="AT216" t="s">
        <v>225</v>
      </c>
      <c r="AU216" t="s">
        <v>225</v>
      </c>
      <c r="AV216" t="s">
        <v>225</v>
      </c>
      <c r="AW216" t="s">
        <v>225</v>
      </c>
      <c r="AX216" t="s">
        <v>225</v>
      </c>
      <c r="AY216" t="s">
        <v>225</v>
      </c>
      <c r="AZ216" t="s">
        <v>225</v>
      </c>
      <c r="BA216" t="s">
        <v>225</v>
      </c>
      <c r="BB216" t="s">
        <v>225</v>
      </c>
      <c r="BC216" t="s">
        <v>225</v>
      </c>
      <c r="BD216" t="s">
        <v>225</v>
      </c>
      <c r="BE216" t="s">
        <v>225</v>
      </c>
      <c r="BF216" t="s">
        <v>225</v>
      </c>
      <c r="BG216" t="s">
        <v>225</v>
      </c>
      <c r="BH216" t="s">
        <v>225</v>
      </c>
      <c r="BI216" t="s">
        <v>225</v>
      </c>
      <c r="BJ216" t="s">
        <v>225</v>
      </c>
      <c r="BK216" t="s">
        <v>225</v>
      </c>
      <c r="BL216" t="s">
        <v>225</v>
      </c>
      <c r="BN216" t="s">
        <v>398</v>
      </c>
      <c r="BR216" s="5">
        <v>0</v>
      </c>
      <c r="BS216" s="5">
        <v>0</v>
      </c>
      <c r="BT216" s="5">
        <v>0</v>
      </c>
      <c r="BU216" s="5">
        <f>(BS216/8+BT216/4)*39</f>
        <v>0</v>
      </c>
      <c r="BV216" s="5">
        <v>0</v>
      </c>
      <c r="BW216" s="5">
        <v>0</v>
      </c>
      <c r="BX216" s="5">
        <v>0</v>
      </c>
      <c r="BY216" s="5">
        <v>0</v>
      </c>
      <c r="BZ216" s="5">
        <v>0</v>
      </c>
      <c r="CA216" s="5">
        <v>0</v>
      </c>
      <c r="CB216" s="5">
        <v>0</v>
      </c>
      <c r="CC216" s="5">
        <f>(BV216+BW216/2+BX216/8+BY216/16+BZ216/4+CA216/32)*39</f>
        <v>0</v>
      </c>
      <c r="CD216" s="5">
        <v>0</v>
      </c>
      <c r="CE216" s="5">
        <v>0</v>
      </c>
      <c r="CF216" s="5">
        <v>0</v>
      </c>
      <c r="CG216" s="5">
        <v>0</v>
      </c>
      <c r="CH216" s="5">
        <v>0</v>
      </c>
      <c r="CI216" s="5">
        <v>0</v>
      </c>
      <c r="CJ216" s="5">
        <v>0</v>
      </c>
      <c r="CK216" s="5">
        <v>0</v>
      </c>
      <c r="CL216" s="5">
        <f>(CD216+CE216/2+CF216/8+CG216/16+CH216/4+CJ216/32+CK216/16)*39</f>
        <v>0</v>
      </c>
      <c r="CM216" s="5">
        <v>0</v>
      </c>
      <c r="CN216" s="5">
        <v>0</v>
      </c>
      <c r="CO216" s="5">
        <v>0</v>
      </c>
      <c r="CP216" s="5">
        <v>0</v>
      </c>
      <c r="CQ216" s="5">
        <v>0</v>
      </c>
      <c r="CR216" t="s">
        <v>398</v>
      </c>
      <c r="CS216">
        <f>12/12</f>
        <v>1</v>
      </c>
      <c r="CT216">
        <v>0</v>
      </c>
      <c r="CU216">
        <v>0</v>
      </c>
      <c r="CV216">
        <v>0</v>
      </c>
      <c r="CW216">
        <f>CS216+CT216/24+CU216/48+CV216/48</f>
        <v>1</v>
      </c>
      <c r="CX216">
        <v>0</v>
      </c>
      <c r="CZ216" t="s">
        <v>210</v>
      </c>
      <c r="DB216" t="s">
        <v>1046</v>
      </c>
      <c r="DC216" t="s">
        <v>262</v>
      </c>
      <c r="DD216" t="s">
        <v>693</v>
      </c>
      <c r="DE216" t="s">
        <v>1047</v>
      </c>
      <c r="DF216" t="s">
        <v>1048</v>
      </c>
      <c r="DG216" t="s">
        <v>1049</v>
      </c>
    </row>
    <row r="217" spans="1:114" x14ac:dyDescent="0.25">
      <c r="A217">
        <v>851</v>
      </c>
      <c r="B217" t="s">
        <v>788</v>
      </c>
      <c r="C217" t="s">
        <v>67</v>
      </c>
      <c r="D217" t="s">
        <v>3792</v>
      </c>
      <c r="E217" t="s">
        <v>776</v>
      </c>
      <c r="I217" t="s">
        <v>219</v>
      </c>
      <c r="J217">
        <v>1343</v>
      </c>
      <c r="K217" t="s">
        <v>1038</v>
      </c>
      <c r="L217" s="6" t="s">
        <v>15</v>
      </c>
      <c r="M217" s="7" t="s">
        <v>338</v>
      </c>
      <c r="N217" t="s">
        <v>1052</v>
      </c>
      <c r="V217" t="s">
        <v>204</v>
      </c>
      <c r="W217" t="s">
        <v>225</v>
      </c>
      <c r="X217" t="s">
        <v>225</v>
      </c>
      <c r="Y217">
        <v>1</v>
      </c>
      <c r="Z217" t="s">
        <v>225</v>
      </c>
      <c r="AA217" t="s">
        <v>225</v>
      </c>
      <c r="AB217" t="s">
        <v>225</v>
      </c>
      <c r="AC217" t="s">
        <v>225</v>
      </c>
      <c r="AD217" t="s">
        <v>225</v>
      </c>
      <c r="AE217" t="s">
        <v>225</v>
      </c>
      <c r="AF217" t="s">
        <v>225</v>
      </c>
      <c r="AG217" t="s">
        <v>225</v>
      </c>
      <c r="AH217" t="s">
        <v>225</v>
      </c>
      <c r="AI217" t="s">
        <v>225</v>
      </c>
      <c r="AJ217" t="s">
        <v>225</v>
      </c>
      <c r="AK217" t="s">
        <v>225</v>
      </c>
      <c r="AL217" t="s">
        <v>225</v>
      </c>
      <c r="AM217" t="s">
        <v>225</v>
      </c>
      <c r="AN217" t="s">
        <v>225</v>
      </c>
      <c r="AO217" t="s">
        <v>225</v>
      </c>
      <c r="AP217" t="s">
        <v>225</v>
      </c>
      <c r="AQ217" t="s">
        <v>225</v>
      </c>
      <c r="AR217" t="s">
        <v>225</v>
      </c>
      <c r="AS217" t="s">
        <v>225</v>
      </c>
      <c r="AT217" t="s">
        <v>225</v>
      </c>
      <c r="AU217" t="s">
        <v>225</v>
      </c>
      <c r="AV217" t="s">
        <v>225</v>
      </c>
      <c r="AW217" t="s">
        <v>225</v>
      </c>
      <c r="AX217" t="s">
        <v>225</v>
      </c>
      <c r="AY217" t="s">
        <v>225</v>
      </c>
      <c r="AZ217" t="s">
        <v>225</v>
      </c>
      <c r="BA217" t="s">
        <v>225</v>
      </c>
      <c r="BB217" t="s">
        <v>225</v>
      </c>
      <c r="BC217" t="s">
        <v>225</v>
      </c>
      <c r="BD217" t="s">
        <v>225</v>
      </c>
      <c r="BE217" t="s">
        <v>225</v>
      </c>
      <c r="BF217" t="s">
        <v>225</v>
      </c>
      <c r="BG217" t="s">
        <v>225</v>
      </c>
      <c r="BH217" t="s">
        <v>225</v>
      </c>
      <c r="BI217" t="s">
        <v>225</v>
      </c>
      <c r="BJ217" t="s">
        <v>225</v>
      </c>
      <c r="BK217" t="s">
        <v>225</v>
      </c>
      <c r="BL217" t="s">
        <v>225</v>
      </c>
      <c r="BN217" t="s">
        <v>398</v>
      </c>
      <c r="BR217" s="5">
        <v>0</v>
      </c>
      <c r="BS217" s="5">
        <v>0</v>
      </c>
      <c r="BT217" s="5">
        <v>0</v>
      </c>
      <c r="BU217" s="5">
        <f>(BS217/8+BT217/4)*39</f>
        <v>0</v>
      </c>
      <c r="BV217" s="5">
        <v>0</v>
      </c>
      <c r="BW217" s="5">
        <v>0</v>
      </c>
      <c r="BX217" s="5">
        <v>0</v>
      </c>
      <c r="BY217" s="5">
        <v>0</v>
      </c>
      <c r="BZ217" s="5">
        <v>0</v>
      </c>
      <c r="CA217" s="5">
        <v>0</v>
      </c>
      <c r="CB217" s="5">
        <v>0</v>
      </c>
      <c r="CC217" s="5">
        <f>(BV217+BW217/2+BX217/8+BY217/16+BZ217/4+CA217/32)*39</f>
        <v>0</v>
      </c>
      <c r="CD217" s="5">
        <v>0</v>
      </c>
      <c r="CE217" s="5">
        <v>0</v>
      </c>
      <c r="CF217" s="5">
        <v>0</v>
      </c>
      <c r="CG217" s="5">
        <v>0</v>
      </c>
      <c r="CH217" s="5">
        <v>0</v>
      </c>
      <c r="CI217" s="5">
        <v>0</v>
      </c>
      <c r="CJ217" s="5">
        <v>0</v>
      </c>
      <c r="CK217" s="5">
        <v>0</v>
      </c>
      <c r="CL217" s="5">
        <f>(CD217+CE217/2+CF217/8+CG217/16+CH217/4+CJ217/32+CK217/16)*39</f>
        <v>0</v>
      </c>
      <c r="CM217" s="5">
        <v>0</v>
      </c>
      <c r="CN217" s="5">
        <v>0</v>
      </c>
      <c r="CO217" s="5">
        <v>0</v>
      </c>
      <c r="CP217" s="5">
        <v>0</v>
      </c>
      <c r="CQ217" s="5">
        <v>0</v>
      </c>
      <c r="CR217" t="s">
        <v>398</v>
      </c>
      <c r="CS217">
        <f>12/12</f>
        <v>1</v>
      </c>
      <c r="CT217">
        <v>0</v>
      </c>
      <c r="CU217">
        <v>0</v>
      </c>
      <c r="CV217">
        <v>0</v>
      </c>
      <c r="CW217">
        <f>CS217+CT217/24+CU217/48+CV217/48</f>
        <v>1</v>
      </c>
      <c r="CX217">
        <v>0</v>
      </c>
      <c r="CZ217" t="s">
        <v>210</v>
      </c>
      <c r="DB217" t="s">
        <v>748</v>
      </c>
      <c r="DC217" t="s">
        <v>1053</v>
      </c>
      <c r="DD217" t="s">
        <v>693</v>
      </c>
      <c r="DE217" t="s">
        <v>1054</v>
      </c>
      <c r="DF217" t="s">
        <v>1055</v>
      </c>
      <c r="DG217" t="s">
        <v>1056</v>
      </c>
      <c r="DJ217" t="s">
        <v>483</v>
      </c>
    </row>
    <row r="218" spans="1:114" x14ac:dyDescent="0.25">
      <c r="A218">
        <v>852</v>
      </c>
      <c r="B218" t="s">
        <v>788</v>
      </c>
      <c r="C218" t="s">
        <v>11</v>
      </c>
      <c r="D218" t="s">
        <v>3792</v>
      </c>
      <c r="E218" t="s">
        <v>776</v>
      </c>
      <c r="I218" t="s">
        <v>219</v>
      </c>
      <c r="J218">
        <v>1343</v>
      </c>
      <c r="K218" t="s">
        <v>1038</v>
      </c>
      <c r="L218" s="6" t="s">
        <v>15</v>
      </c>
      <c r="M218" s="7" t="s">
        <v>338</v>
      </c>
      <c r="V218" t="s">
        <v>204</v>
      </c>
      <c r="W218" t="s">
        <v>225</v>
      </c>
      <c r="X218" t="s">
        <v>225</v>
      </c>
      <c r="Y218">
        <v>1</v>
      </c>
      <c r="Z218" t="s">
        <v>225</v>
      </c>
      <c r="AA218" t="s">
        <v>225</v>
      </c>
      <c r="AB218" t="s">
        <v>225</v>
      </c>
      <c r="AC218" t="s">
        <v>225</v>
      </c>
      <c r="AD218" t="s">
        <v>225</v>
      </c>
      <c r="AE218" t="s">
        <v>225</v>
      </c>
      <c r="AF218" t="s">
        <v>225</v>
      </c>
      <c r="AG218" t="s">
        <v>225</v>
      </c>
      <c r="AH218" t="s">
        <v>225</v>
      </c>
      <c r="AI218" t="s">
        <v>225</v>
      </c>
      <c r="AJ218" t="s">
        <v>225</v>
      </c>
      <c r="AK218" t="s">
        <v>225</v>
      </c>
      <c r="AL218" t="s">
        <v>225</v>
      </c>
      <c r="AM218" t="s">
        <v>225</v>
      </c>
      <c r="AN218" t="s">
        <v>225</v>
      </c>
      <c r="AO218" t="s">
        <v>225</v>
      </c>
      <c r="AP218" t="s">
        <v>225</v>
      </c>
      <c r="AQ218" t="s">
        <v>225</v>
      </c>
      <c r="AR218" t="s">
        <v>225</v>
      </c>
      <c r="AS218" t="s">
        <v>225</v>
      </c>
      <c r="AT218" t="s">
        <v>225</v>
      </c>
      <c r="AU218" t="s">
        <v>225</v>
      </c>
      <c r="AV218" t="s">
        <v>225</v>
      </c>
      <c r="AW218" t="s">
        <v>225</v>
      </c>
      <c r="AX218" t="s">
        <v>225</v>
      </c>
      <c r="AY218" t="s">
        <v>225</v>
      </c>
      <c r="AZ218" t="s">
        <v>225</v>
      </c>
      <c r="BA218" t="s">
        <v>225</v>
      </c>
      <c r="BB218" t="s">
        <v>225</v>
      </c>
      <c r="BC218" t="s">
        <v>225</v>
      </c>
      <c r="BD218" t="s">
        <v>225</v>
      </c>
      <c r="BE218" t="s">
        <v>225</v>
      </c>
      <c r="BF218" t="s">
        <v>225</v>
      </c>
      <c r="BG218" t="s">
        <v>225</v>
      </c>
      <c r="BH218" t="s">
        <v>225</v>
      </c>
      <c r="BI218" t="s">
        <v>225</v>
      </c>
      <c r="BJ218" t="s">
        <v>225</v>
      </c>
      <c r="BK218" t="s">
        <v>225</v>
      </c>
      <c r="BL218" t="s">
        <v>225</v>
      </c>
      <c r="BN218" t="s">
        <v>398</v>
      </c>
      <c r="BR218" s="5">
        <v>0</v>
      </c>
      <c r="BS218" s="5">
        <v>0</v>
      </c>
      <c r="BT218" s="5">
        <v>0</v>
      </c>
      <c r="BU218" s="5">
        <f>(BS218/8+BT218/4)*39</f>
        <v>0</v>
      </c>
      <c r="BV218" s="5">
        <v>0</v>
      </c>
      <c r="BW218" s="5">
        <v>0</v>
      </c>
      <c r="BX218" s="5">
        <v>0</v>
      </c>
      <c r="BY218" s="5">
        <v>0</v>
      </c>
      <c r="BZ218" s="5">
        <v>0</v>
      </c>
      <c r="CA218" s="5">
        <v>0</v>
      </c>
      <c r="CB218" s="5">
        <v>0</v>
      </c>
      <c r="CC218" s="5">
        <f>(BV218+BW218/2+BX218/8+BY218/16+BZ218/4+CA218/32)*39</f>
        <v>0</v>
      </c>
      <c r="CD218" s="5">
        <v>0</v>
      </c>
      <c r="CE218" s="5">
        <v>0</v>
      </c>
      <c r="CF218" s="5">
        <v>0</v>
      </c>
      <c r="CG218" s="5">
        <v>0</v>
      </c>
      <c r="CH218" s="5">
        <v>0</v>
      </c>
      <c r="CI218" s="5">
        <v>0</v>
      </c>
      <c r="CJ218" s="5">
        <v>0</v>
      </c>
      <c r="CK218" s="5">
        <v>0</v>
      </c>
      <c r="CL218" s="5">
        <f>(CD218+CE218/2+CF218/8+CG218/16+CH218/4+CJ218/32+CK218/16)*39</f>
        <v>0</v>
      </c>
      <c r="CM218" s="5">
        <v>0</v>
      </c>
      <c r="CN218" s="5">
        <v>0</v>
      </c>
      <c r="CO218" s="5">
        <v>0</v>
      </c>
      <c r="CP218" s="5">
        <v>0</v>
      </c>
      <c r="CQ218" s="5">
        <v>0</v>
      </c>
      <c r="CR218" t="s">
        <v>398</v>
      </c>
      <c r="CS218">
        <f>4/12</f>
        <v>0.33333333333333331</v>
      </c>
      <c r="CT218">
        <v>0</v>
      </c>
      <c r="CU218">
        <v>0</v>
      </c>
      <c r="CV218">
        <v>0</v>
      </c>
      <c r="CW218">
        <f>CS218+CT218/24+CU218/48+CV218/48</f>
        <v>0.33333333333333331</v>
      </c>
      <c r="CX218">
        <v>0</v>
      </c>
      <c r="CZ218" t="s">
        <v>210</v>
      </c>
      <c r="DA218" t="s">
        <v>589</v>
      </c>
      <c r="DB218" t="s">
        <v>405</v>
      </c>
      <c r="DC218" t="s">
        <v>1053</v>
      </c>
      <c r="DD218" t="s">
        <v>693</v>
      </c>
      <c r="DE218" t="s">
        <v>1054</v>
      </c>
      <c r="DF218" t="s">
        <v>1055</v>
      </c>
      <c r="DG218" t="s">
        <v>1056</v>
      </c>
      <c r="DJ218" t="s">
        <v>483</v>
      </c>
    </row>
    <row r="219" spans="1:114" x14ac:dyDescent="0.25">
      <c r="A219">
        <v>1141</v>
      </c>
      <c r="B219" s="36" t="s">
        <v>3843</v>
      </c>
      <c r="C219" t="s">
        <v>138</v>
      </c>
      <c r="D219" t="s">
        <v>3792</v>
      </c>
      <c r="E219" t="s">
        <v>1462</v>
      </c>
      <c r="I219" t="s">
        <v>219</v>
      </c>
      <c r="J219">
        <v>1343</v>
      </c>
      <c r="K219" t="s">
        <v>1038</v>
      </c>
      <c r="L219">
        <v>13</v>
      </c>
      <c r="M219" s="7" t="s">
        <v>338</v>
      </c>
      <c r="V219" t="s">
        <v>1463</v>
      </c>
      <c r="W219" t="s">
        <v>225</v>
      </c>
      <c r="X219" t="s">
        <v>225</v>
      </c>
      <c r="Y219">
        <v>1</v>
      </c>
      <c r="Z219" t="s">
        <v>225</v>
      </c>
      <c r="AA219" t="s">
        <v>225</v>
      </c>
      <c r="AB219" t="s">
        <v>225</v>
      </c>
      <c r="AC219" t="s">
        <v>225</v>
      </c>
      <c r="AD219" t="s">
        <v>225</v>
      </c>
      <c r="AE219" t="s">
        <v>225</v>
      </c>
      <c r="AF219" t="s">
        <v>225</v>
      </c>
      <c r="AG219" t="s">
        <v>225</v>
      </c>
      <c r="AH219" t="s">
        <v>225</v>
      </c>
      <c r="AI219" t="s">
        <v>225</v>
      </c>
      <c r="AJ219" t="s">
        <v>225</v>
      </c>
      <c r="AK219" t="s">
        <v>225</v>
      </c>
      <c r="AL219" t="s">
        <v>225</v>
      </c>
      <c r="AM219" t="s">
        <v>225</v>
      </c>
      <c r="AN219" t="s">
        <v>225</v>
      </c>
      <c r="AO219" t="s">
        <v>225</v>
      </c>
      <c r="AP219" t="s">
        <v>225</v>
      </c>
      <c r="AQ219" t="s">
        <v>225</v>
      </c>
      <c r="AR219" t="s">
        <v>225</v>
      </c>
      <c r="AS219" t="s">
        <v>225</v>
      </c>
      <c r="AT219" t="s">
        <v>225</v>
      </c>
      <c r="AU219" t="s">
        <v>225</v>
      </c>
      <c r="AV219" t="s">
        <v>225</v>
      </c>
      <c r="AW219" t="s">
        <v>225</v>
      </c>
      <c r="AX219" t="s">
        <v>225</v>
      </c>
      <c r="AY219" t="s">
        <v>225</v>
      </c>
      <c r="AZ219" t="s">
        <v>225</v>
      </c>
      <c r="BA219" t="s">
        <v>225</v>
      </c>
      <c r="BB219" t="s">
        <v>225</v>
      </c>
      <c r="BC219" t="s">
        <v>225</v>
      </c>
      <c r="BD219" t="s">
        <v>225</v>
      </c>
      <c r="BE219" t="s">
        <v>225</v>
      </c>
      <c r="BF219" t="s">
        <v>225</v>
      </c>
      <c r="BG219" t="s">
        <v>225</v>
      </c>
      <c r="BH219" t="s">
        <v>225</v>
      </c>
      <c r="BI219" t="s">
        <v>225</v>
      </c>
      <c r="BJ219" t="s">
        <v>225</v>
      </c>
      <c r="BK219" t="s">
        <v>225</v>
      </c>
      <c r="BL219" t="s">
        <v>225</v>
      </c>
      <c r="BN219" t="s">
        <v>398</v>
      </c>
      <c r="BR219" s="5">
        <v>0</v>
      </c>
      <c r="BS219" s="5">
        <v>0</v>
      </c>
      <c r="BT219" s="5">
        <v>0</v>
      </c>
      <c r="BU219" s="5">
        <f>(BS219/8+BT219/4)*39</f>
        <v>0</v>
      </c>
      <c r="BV219" s="5">
        <v>0</v>
      </c>
      <c r="BW219" s="5">
        <v>0</v>
      </c>
      <c r="BX219" s="5">
        <v>0</v>
      </c>
      <c r="BY219" s="5">
        <v>0</v>
      </c>
      <c r="BZ219" s="5">
        <v>0</v>
      </c>
      <c r="CA219" s="5">
        <v>0</v>
      </c>
      <c r="CB219" s="5">
        <v>0</v>
      </c>
      <c r="CC219" s="5">
        <f>(BV219+BW219/2+BX219/8+BY219/16+BZ219/4+CA219/32)*39</f>
        <v>0</v>
      </c>
      <c r="CD219" s="5">
        <v>0</v>
      </c>
      <c r="CE219" s="5">
        <v>0</v>
      </c>
      <c r="CF219" s="5">
        <v>0</v>
      </c>
      <c r="CG219" s="5">
        <v>0</v>
      </c>
      <c r="CH219" s="5">
        <v>0</v>
      </c>
      <c r="CI219" s="5">
        <v>0</v>
      </c>
      <c r="CJ219" s="5">
        <v>0</v>
      </c>
      <c r="CK219" s="5">
        <v>0</v>
      </c>
      <c r="CL219" s="5">
        <f>(CD219+CE219/2+CF219/8+CG219/16+CH219/4+CJ219/32+CK219/16)*39</f>
        <v>0</v>
      </c>
      <c r="CM219" s="5">
        <v>0</v>
      </c>
      <c r="CN219" s="5">
        <v>0</v>
      </c>
      <c r="CO219" s="5">
        <v>0</v>
      </c>
      <c r="CP219" s="5">
        <v>0</v>
      </c>
      <c r="CQ219" s="5">
        <v>0</v>
      </c>
      <c r="CR219" t="s">
        <v>398</v>
      </c>
      <c r="CS219">
        <f>8/12</f>
        <v>0.66666666666666663</v>
      </c>
      <c r="CT219">
        <v>0</v>
      </c>
      <c r="CU219">
        <v>0</v>
      </c>
      <c r="CV219">
        <v>0</v>
      </c>
      <c r="CW219">
        <f>CS219+CT219/24+CU219/48+CV219/48</f>
        <v>0.66666666666666663</v>
      </c>
      <c r="CX219">
        <v>0</v>
      </c>
      <c r="CZ219" t="s">
        <v>210</v>
      </c>
      <c r="DA219" t="s">
        <v>1465</v>
      </c>
    </row>
    <row r="220" spans="1:114" x14ac:dyDescent="0.25">
      <c r="A220">
        <v>871</v>
      </c>
      <c r="C220" t="s">
        <v>3795</v>
      </c>
      <c r="D220" t="s">
        <v>3796</v>
      </c>
      <c r="E220" t="s">
        <v>3903</v>
      </c>
      <c r="H220" t="s">
        <v>1084</v>
      </c>
      <c r="I220" t="s">
        <v>3219</v>
      </c>
      <c r="J220">
        <v>1343</v>
      </c>
      <c r="K220" t="s">
        <v>1082</v>
      </c>
      <c r="L220">
        <v>26</v>
      </c>
      <c r="M220" s="7" t="s">
        <v>338</v>
      </c>
      <c r="N220" t="s">
        <v>236</v>
      </c>
      <c r="P220" t="s">
        <v>225</v>
      </c>
      <c r="Q220" s="19" t="s">
        <v>205</v>
      </c>
      <c r="R220" t="s">
        <v>205</v>
      </c>
      <c r="S220" t="s">
        <v>205</v>
      </c>
      <c r="T220" t="s">
        <v>225</v>
      </c>
      <c r="U220" t="s">
        <v>277</v>
      </c>
      <c r="V220" t="s">
        <v>204</v>
      </c>
      <c r="W220" t="s">
        <v>205</v>
      </c>
      <c r="X220" t="s">
        <v>205</v>
      </c>
      <c r="Y220" t="s">
        <v>205</v>
      </c>
      <c r="Z220" t="s">
        <v>225</v>
      </c>
      <c r="AA220" t="s">
        <v>225</v>
      </c>
      <c r="AB220" t="s">
        <v>225</v>
      </c>
      <c r="AC220" t="s">
        <v>225</v>
      </c>
      <c r="AD220" t="s">
        <v>205</v>
      </c>
      <c r="AE220" t="s">
        <v>225</v>
      </c>
      <c r="AF220" t="s">
        <v>225</v>
      </c>
      <c r="AG220" t="s">
        <v>225</v>
      </c>
      <c r="AH220" t="s">
        <v>225</v>
      </c>
      <c r="AI220" t="s">
        <v>225</v>
      </c>
      <c r="AJ220" t="s">
        <v>225</v>
      </c>
      <c r="AK220" t="s">
        <v>225</v>
      </c>
      <c r="AL220" t="s">
        <v>225</v>
      </c>
      <c r="AM220" t="s">
        <v>225</v>
      </c>
      <c r="AN220" t="s">
        <v>225</v>
      </c>
      <c r="AO220" t="s">
        <v>225</v>
      </c>
      <c r="AP220" t="s">
        <v>225</v>
      </c>
      <c r="AQ220" t="s">
        <v>225</v>
      </c>
      <c r="AR220" t="s">
        <v>225</v>
      </c>
      <c r="AS220" t="s">
        <v>225</v>
      </c>
      <c r="AT220" t="s">
        <v>225</v>
      </c>
      <c r="AU220" t="s">
        <v>225</v>
      </c>
      <c r="AV220" t="s">
        <v>225</v>
      </c>
      <c r="AW220" t="s">
        <v>225</v>
      </c>
      <c r="AX220" t="s">
        <v>225</v>
      </c>
      <c r="AY220" t="s">
        <v>225</v>
      </c>
      <c r="AZ220" t="s">
        <v>225</v>
      </c>
      <c r="BA220" t="s">
        <v>225</v>
      </c>
      <c r="BB220" t="s">
        <v>225</v>
      </c>
      <c r="BC220" t="s">
        <v>225</v>
      </c>
      <c r="BD220" t="s">
        <v>225</v>
      </c>
      <c r="BE220" t="s">
        <v>225</v>
      </c>
      <c r="BF220" t="s">
        <v>225</v>
      </c>
      <c r="BG220" t="s">
        <v>225</v>
      </c>
      <c r="BH220" t="s">
        <v>225</v>
      </c>
      <c r="BI220" t="s">
        <v>225</v>
      </c>
      <c r="BJ220" t="s">
        <v>225</v>
      </c>
      <c r="BK220" t="s">
        <v>225</v>
      </c>
      <c r="BL220" t="s">
        <v>205</v>
      </c>
      <c r="BN220" t="s">
        <v>1091</v>
      </c>
      <c r="BO220" t="s">
        <v>1085</v>
      </c>
      <c r="BP220" t="s">
        <v>461</v>
      </c>
      <c r="BQ220" t="s">
        <v>1455</v>
      </c>
      <c r="BR220" s="5">
        <v>1</v>
      </c>
      <c r="BS220" s="5">
        <v>0</v>
      </c>
      <c r="BT220" s="5">
        <v>0</v>
      </c>
      <c r="BU220" s="5">
        <f>(BS220/8+BT220/4)*39</f>
        <v>0</v>
      </c>
      <c r="BV220" s="5">
        <v>0</v>
      </c>
      <c r="BW220" s="5">
        <v>0</v>
      </c>
      <c r="BX220" s="5">
        <v>6</v>
      </c>
      <c r="BY220" s="5">
        <v>0</v>
      </c>
      <c r="BZ220" s="5">
        <v>0</v>
      </c>
      <c r="CA220" s="5">
        <v>0</v>
      </c>
      <c r="CB220" s="5">
        <v>0</v>
      </c>
      <c r="CC220" s="5">
        <f>(BV220+BW220/2+BX220/8+BY220/16+BZ220/4+CA220/32)*39</f>
        <v>29.25</v>
      </c>
      <c r="CD220" s="5">
        <v>0</v>
      </c>
      <c r="CE220" s="5">
        <v>0</v>
      </c>
      <c r="CF220" s="5">
        <v>10</v>
      </c>
      <c r="CG220" s="5">
        <v>0</v>
      </c>
      <c r="CH220" s="5">
        <v>0</v>
      </c>
      <c r="CI220" s="5">
        <v>0</v>
      </c>
      <c r="CJ220" s="5">
        <v>0</v>
      </c>
      <c r="CK220" s="5">
        <v>0</v>
      </c>
      <c r="CL220" s="5">
        <f>(CD220+CE220/2+CF220/8+CG220/16+CH220/4+CJ220/32+CK220/16)*39</f>
        <v>48.75</v>
      </c>
      <c r="CM220" s="5">
        <v>0</v>
      </c>
      <c r="CN220" s="5">
        <v>0</v>
      </c>
      <c r="CO220" s="5">
        <v>0</v>
      </c>
      <c r="CP220" s="5">
        <v>0</v>
      </c>
      <c r="CQ220" s="5">
        <v>0</v>
      </c>
      <c r="CS220">
        <f>9+18</f>
        <v>27</v>
      </c>
      <c r="CT220">
        <v>0</v>
      </c>
      <c r="CU220">
        <v>0</v>
      </c>
      <c r="CV220">
        <v>0</v>
      </c>
      <c r="CW220">
        <f>CS220+CT220/24+CU220/48+CV220/48</f>
        <v>27</v>
      </c>
      <c r="CX220">
        <v>0</v>
      </c>
      <c r="CZ220" t="s">
        <v>210</v>
      </c>
      <c r="DA220" t="s">
        <v>589</v>
      </c>
      <c r="DB220" t="s">
        <v>405</v>
      </c>
      <c r="DC220" t="s">
        <v>262</v>
      </c>
      <c r="DD220" t="s">
        <v>693</v>
      </c>
      <c r="DE220" t="s">
        <v>1094</v>
      </c>
      <c r="DF220" t="s">
        <v>1095</v>
      </c>
      <c r="DJ220" t="s">
        <v>483</v>
      </c>
    </row>
    <row r="221" spans="1:114" x14ac:dyDescent="0.25">
      <c r="A221">
        <v>422</v>
      </c>
      <c r="B221" t="s">
        <v>3842</v>
      </c>
      <c r="C221" t="s">
        <v>39</v>
      </c>
      <c r="D221" t="s">
        <v>445</v>
      </c>
      <c r="E221" t="s">
        <v>446</v>
      </c>
      <c r="H221" t="s">
        <v>447</v>
      </c>
      <c r="I221" t="s">
        <v>219</v>
      </c>
      <c r="J221">
        <v>1343</v>
      </c>
      <c r="K221" t="s">
        <v>198</v>
      </c>
      <c r="L221">
        <v>29</v>
      </c>
      <c r="M221" s="14" t="s">
        <v>338</v>
      </c>
      <c r="N221" t="s">
        <v>236</v>
      </c>
      <c r="O221" t="s">
        <v>201</v>
      </c>
      <c r="P221" t="s">
        <v>225</v>
      </c>
      <c r="Q221" t="s">
        <v>205</v>
      </c>
      <c r="R221" t="s">
        <v>205</v>
      </c>
      <c r="S221" t="s">
        <v>205</v>
      </c>
      <c r="T221" t="s">
        <v>225</v>
      </c>
      <c r="U221" t="s">
        <v>277</v>
      </c>
      <c r="V221" t="s">
        <v>204</v>
      </c>
      <c r="W221">
        <v>1</v>
      </c>
      <c r="X221" t="s">
        <v>205</v>
      </c>
      <c r="Y221" t="s">
        <v>205</v>
      </c>
      <c r="Z221" t="s">
        <v>205</v>
      </c>
      <c r="AA221" t="s">
        <v>225</v>
      </c>
      <c r="AB221" t="s">
        <v>205</v>
      </c>
      <c r="AC221" t="s">
        <v>205</v>
      </c>
      <c r="AD221" t="s">
        <v>225</v>
      </c>
      <c r="AE221" t="s">
        <v>225</v>
      </c>
      <c r="AF221" t="s">
        <v>225</v>
      </c>
      <c r="AG221" t="s">
        <v>225</v>
      </c>
      <c r="AH221" t="s">
        <v>205</v>
      </c>
      <c r="AI221" t="s">
        <v>225</v>
      </c>
      <c r="AJ221" t="s">
        <v>225</v>
      </c>
      <c r="AK221" t="s">
        <v>225</v>
      </c>
      <c r="AL221" t="s">
        <v>225</v>
      </c>
      <c r="AM221" t="s">
        <v>225</v>
      </c>
      <c r="AN221" t="s">
        <v>225</v>
      </c>
      <c r="AO221" t="s">
        <v>225</v>
      </c>
      <c r="AP221" t="s">
        <v>225</v>
      </c>
      <c r="AQ221" t="s">
        <v>225</v>
      </c>
      <c r="AR221" t="s">
        <v>225</v>
      </c>
      <c r="AS221" t="s">
        <v>225</v>
      </c>
      <c r="AT221" t="s">
        <v>225</v>
      </c>
      <c r="AU221" t="s">
        <v>225</v>
      </c>
      <c r="AV221" t="s">
        <v>225</v>
      </c>
      <c r="AW221" t="s">
        <v>225</v>
      </c>
      <c r="AX221" t="s">
        <v>225</v>
      </c>
      <c r="AY221" t="s">
        <v>225</v>
      </c>
      <c r="AZ221" t="s">
        <v>225</v>
      </c>
      <c r="BA221" t="s">
        <v>225</v>
      </c>
      <c r="BB221" t="s">
        <v>225</v>
      </c>
      <c r="BC221" t="s">
        <v>225</v>
      </c>
      <c r="BD221" t="s">
        <v>225</v>
      </c>
      <c r="BE221" t="s">
        <v>225</v>
      </c>
      <c r="BF221" t="s">
        <v>225</v>
      </c>
      <c r="BG221" t="s">
        <v>225</v>
      </c>
      <c r="BH221" t="s">
        <v>225</v>
      </c>
      <c r="BI221" t="s">
        <v>225</v>
      </c>
      <c r="BJ221" t="s">
        <v>225</v>
      </c>
      <c r="BK221" t="s">
        <v>225</v>
      </c>
      <c r="BL221" t="s">
        <v>205</v>
      </c>
      <c r="BN221" t="s">
        <v>889</v>
      </c>
      <c r="BO221" t="s">
        <v>449</v>
      </c>
      <c r="BP221" t="s">
        <v>462</v>
      </c>
      <c r="BQ221" t="s">
        <v>539</v>
      </c>
      <c r="BR221">
        <v>0</v>
      </c>
      <c r="BS221">
        <v>0</v>
      </c>
      <c r="BT221">
        <v>0</v>
      </c>
      <c r="BU221" s="5">
        <f>(BS221/8+BT221/4)*39</f>
        <v>0</v>
      </c>
      <c r="BV221">
        <v>0</v>
      </c>
      <c r="BW221" s="5">
        <v>0</v>
      </c>
      <c r="BX221" s="5">
        <v>21</v>
      </c>
      <c r="BY221">
        <v>0</v>
      </c>
      <c r="BZ221">
        <v>0</v>
      </c>
      <c r="CA221">
        <v>0</v>
      </c>
      <c r="CB221">
        <v>0</v>
      </c>
      <c r="CC221" s="5">
        <f>(BV221+BW221/2+BX221/8+BY221/16+BZ221/4+CA221/32)*39</f>
        <v>102.375</v>
      </c>
      <c r="CD221">
        <v>0</v>
      </c>
      <c r="CE221">
        <v>0</v>
      </c>
      <c r="CF221" s="5">
        <v>20</v>
      </c>
      <c r="CG221">
        <v>0</v>
      </c>
      <c r="CH221">
        <v>0</v>
      </c>
      <c r="CI221">
        <v>0</v>
      </c>
      <c r="CJ221">
        <v>0</v>
      </c>
      <c r="CK221">
        <v>0</v>
      </c>
      <c r="CL221" s="5">
        <f>(CD221+CE221/2+CF221/8+CG221/16+CH221/4+CJ221/32+CK221/16)*39</f>
        <v>97.5</v>
      </c>
      <c r="CM221">
        <v>0</v>
      </c>
      <c r="CN221">
        <v>0</v>
      </c>
      <c r="CO221">
        <v>0</v>
      </c>
      <c r="CP221">
        <v>0</v>
      </c>
      <c r="CQ221">
        <v>0</v>
      </c>
      <c r="CR221" t="s">
        <v>485</v>
      </c>
      <c r="CS221">
        <v>28</v>
      </c>
      <c r="CT221">
        <v>0</v>
      </c>
      <c r="CU221">
        <v>0</v>
      </c>
      <c r="CV221">
        <v>0</v>
      </c>
      <c r="CW221">
        <f>CS221+CT221/24+CU221/48+CV221/48</f>
        <v>28</v>
      </c>
      <c r="CX221">
        <v>0</v>
      </c>
      <c r="CY221" t="s">
        <v>248</v>
      </c>
      <c r="CZ221" t="s">
        <v>210</v>
      </c>
      <c r="DA221" t="s">
        <v>456</v>
      </c>
      <c r="DB221" t="s">
        <v>405</v>
      </c>
      <c r="DC221" t="s">
        <v>262</v>
      </c>
      <c r="DD221" t="s">
        <v>693</v>
      </c>
      <c r="DE221" t="s">
        <v>457</v>
      </c>
      <c r="DF221" t="s">
        <v>458</v>
      </c>
      <c r="DG221" t="s">
        <v>459</v>
      </c>
      <c r="DJ221" t="s">
        <v>483</v>
      </c>
    </row>
    <row r="222" spans="1:114" x14ac:dyDescent="0.25">
      <c r="A222">
        <v>1314</v>
      </c>
      <c r="C222" t="s">
        <v>1775</v>
      </c>
      <c r="D222" t="s">
        <v>49</v>
      </c>
      <c r="E222" t="s">
        <v>1776</v>
      </c>
      <c r="G222" t="s">
        <v>1777</v>
      </c>
      <c r="I222" t="s">
        <v>3219</v>
      </c>
      <c r="J222">
        <v>1343</v>
      </c>
      <c r="K222" t="s">
        <v>1097</v>
      </c>
      <c r="L222">
        <v>11</v>
      </c>
      <c r="M222" s="7" t="s">
        <v>338</v>
      </c>
      <c r="N222" t="s">
        <v>986</v>
      </c>
      <c r="V222" t="s">
        <v>1463</v>
      </c>
      <c r="W222" t="s">
        <v>225</v>
      </c>
      <c r="X222" t="s">
        <v>225</v>
      </c>
      <c r="Y222" t="s">
        <v>225</v>
      </c>
      <c r="Z222" s="5" t="s">
        <v>225</v>
      </c>
      <c r="AA222" s="5" t="s">
        <v>225</v>
      </c>
      <c r="AB222" s="5" t="s">
        <v>225</v>
      </c>
      <c r="AC222" s="5" t="s">
        <v>225</v>
      </c>
      <c r="AD222" s="5">
        <v>1</v>
      </c>
      <c r="AE222" s="5" t="s">
        <v>225</v>
      </c>
      <c r="AF222" s="5" t="s">
        <v>225</v>
      </c>
      <c r="AG222" s="5" t="s">
        <v>225</v>
      </c>
      <c r="AH222" s="5" t="s">
        <v>225</v>
      </c>
      <c r="AI222" s="5" t="s">
        <v>225</v>
      </c>
      <c r="AJ222" s="5" t="s">
        <v>225</v>
      </c>
      <c r="AK222" s="5" t="s">
        <v>225</v>
      </c>
      <c r="AL222" s="5" t="s">
        <v>225</v>
      </c>
      <c r="AM222" s="5" t="s">
        <v>225</v>
      </c>
      <c r="AN222" s="5" t="s">
        <v>225</v>
      </c>
      <c r="AO222" s="5" t="s">
        <v>225</v>
      </c>
      <c r="AP222" s="5" t="s">
        <v>225</v>
      </c>
      <c r="AQ222" s="5" t="s">
        <v>225</v>
      </c>
      <c r="AR222" s="5" t="s">
        <v>225</v>
      </c>
      <c r="AS222" s="5" t="s">
        <v>225</v>
      </c>
      <c r="AT222" s="5" t="s">
        <v>225</v>
      </c>
      <c r="AU222" s="5" t="s">
        <v>225</v>
      </c>
      <c r="AV222" s="5" t="s">
        <v>225</v>
      </c>
      <c r="AW222" s="5" t="s">
        <v>225</v>
      </c>
      <c r="AX222" s="5" t="s">
        <v>225</v>
      </c>
      <c r="AY222" t="s">
        <v>225</v>
      </c>
      <c r="AZ222" t="s">
        <v>225</v>
      </c>
      <c r="BA222" t="s">
        <v>225</v>
      </c>
      <c r="BB222" t="s">
        <v>225</v>
      </c>
      <c r="BC222" t="s">
        <v>225</v>
      </c>
      <c r="BD222" t="s">
        <v>225</v>
      </c>
      <c r="BE222" t="s">
        <v>225</v>
      </c>
      <c r="BF222" t="s">
        <v>225</v>
      </c>
      <c r="BG222" t="s">
        <v>225</v>
      </c>
      <c r="BH222" t="s">
        <v>225</v>
      </c>
      <c r="BI222" t="s">
        <v>225</v>
      </c>
      <c r="BJ222" t="s">
        <v>225</v>
      </c>
      <c r="BK222" t="s">
        <v>225</v>
      </c>
      <c r="BL222" s="5" t="s">
        <v>225</v>
      </c>
      <c r="BN222" s="5" t="s">
        <v>791</v>
      </c>
      <c r="BR222" s="5">
        <v>0</v>
      </c>
      <c r="BS222" s="5">
        <v>0</v>
      </c>
      <c r="BT222" s="5">
        <v>0</v>
      </c>
      <c r="BU222" s="5">
        <f>(BS222/8+BT222/4)*39</f>
        <v>0</v>
      </c>
      <c r="BV222" s="5">
        <v>0</v>
      </c>
      <c r="BW222" s="5">
        <v>0</v>
      </c>
      <c r="BX222" s="5">
        <v>0</v>
      </c>
      <c r="BY222" s="5">
        <v>0</v>
      </c>
      <c r="BZ222" s="5">
        <v>0</v>
      </c>
      <c r="CA222" s="5">
        <v>0</v>
      </c>
      <c r="CB222" s="5">
        <v>0</v>
      </c>
      <c r="CC222" s="5">
        <f>(BV222+BW222/2+BX222/8+BY222/16+BZ222/4+CA222/32)*39</f>
        <v>0</v>
      </c>
      <c r="CD222" s="5">
        <v>0</v>
      </c>
      <c r="CE222" s="5">
        <v>0</v>
      </c>
      <c r="CF222" s="5">
        <v>0</v>
      </c>
      <c r="CG222" s="5">
        <v>0</v>
      </c>
      <c r="CH222" s="5">
        <v>0</v>
      </c>
      <c r="CI222" s="5">
        <v>0</v>
      </c>
      <c r="CJ222" s="5">
        <v>0</v>
      </c>
      <c r="CK222" s="5">
        <v>0</v>
      </c>
      <c r="CL222" s="5">
        <f>(CD222+CE222/2+CF222/8+CG222/16+CH222/4+CJ222/32+CK222/16)*39</f>
        <v>0</v>
      </c>
      <c r="CM222" s="5">
        <v>0</v>
      </c>
      <c r="CN222" s="5">
        <v>0</v>
      </c>
      <c r="CO222" s="5">
        <v>0</v>
      </c>
      <c r="CP222" s="5">
        <v>0</v>
      </c>
      <c r="CQ222" s="5">
        <v>0</v>
      </c>
      <c r="CS222">
        <v>0</v>
      </c>
      <c r="CT222">
        <v>1</v>
      </c>
      <c r="CU222">
        <v>0</v>
      </c>
      <c r="CV222">
        <v>0</v>
      </c>
      <c r="CW222">
        <f>CS222+CT222/24+CU222/48+CV222/48</f>
        <v>4.1666666666666664E-2</v>
      </c>
      <c r="CX222">
        <v>0</v>
      </c>
      <c r="CZ222" t="s">
        <v>210</v>
      </c>
      <c r="DC222" t="s">
        <v>1782</v>
      </c>
      <c r="DD222" t="s">
        <v>693</v>
      </c>
      <c r="DE222" t="s">
        <v>1712</v>
      </c>
      <c r="DF222" t="s">
        <v>1713</v>
      </c>
    </row>
    <row r="223" spans="1:114" x14ac:dyDescent="0.25">
      <c r="A223">
        <v>241</v>
      </c>
      <c r="C223" t="s">
        <v>217</v>
      </c>
      <c r="D223" t="s">
        <v>218</v>
      </c>
      <c r="E223" t="s">
        <v>197</v>
      </c>
      <c r="I223" t="s">
        <v>220</v>
      </c>
      <c r="J223">
        <v>1343</v>
      </c>
      <c r="K223" t="s">
        <v>198</v>
      </c>
      <c r="L223">
        <v>31</v>
      </c>
      <c r="M223" s="7" t="s">
        <v>199</v>
      </c>
      <c r="N223" t="s">
        <v>358</v>
      </c>
      <c r="O223" t="s">
        <v>201</v>
      </c>
      <c r="P223" t="s">
        <v>225</v>
      </c>
      <c r="Q223" t="s">
        <v>205</v>
      </c>
      <c r="R223" t="s">
        <v>225</v>
      </c>
      <c r="S223" t="s">
        <v>205</v>
      </c>
      <c r="T223" t="s">
        <v>225</v>
      </c>
      <c r="U223" t="s">
        <v>277</v>
      </c>
      <c r="V223" t="s">
        <v>204</v>
      </c>
      <c r="W223">
        <v>1</v>
      </c>
      <c r="X223">
        <v>1</v>
      </c>
      <c r="Y223" t="s">
        <v>205</v>
      </c>
      <c r="Z223" t="s">
        <v>205</v>
      </c>
      <c r="AA223" t="s">
        <v>205</v>
      </c>
      <c r="AB223" t="s">
        <v>205</v>
      </c>
      <c r="AC223" t="s">
        <v>205</v>
      </c>
      <c r="AD223" t="s">
        <v>225</v>
      </c>
      <c r="AE223" t="s">
        <v>225</v>
      </c>
      <c r="AF223" t="s">
        <v>225</v>
      </c>
      <c r="AG223" t="s">
        <v>225</v>
      </c>
      <c r="AH223" t="s">
        <v>225</v>
      </c>
      <c r="AI223" t="s">
        <v>225</v>
      </c>
      <c r="AJ223" t="s">
        <v>225</v>
      </c>
      <c r="AK223" t="s">
        <v>225</v>
      </c>
      <c r="AL223" t="s">
        <v>225</v>
      </c>
      <c r="AM223" t="s">
        <v>225</v>
      </c>
      <c r="AN223" t="s">
        <v>225</v>
      </c>
      <c r="AO223" t="s">
        <v>225</v>
      </c>
      <c r="AP223" t="s">
        <v>225</v>
      </c>
      <c r="AQ223" t="s">
        <v>225</v>
      </c>
      <c r="AR223" t="s">
        <v>225</v>
      </c>
      <c r="AS223" t="s">
        <v>225</v>
      </c>
      <c r="AT223" t="s">
        <v>225</v>
      </c>
      <c r="AU223" t="s">
        <v>225</v>
      </c>
      <c r="AV223" t="s">
        <v>225</v>
      </c>
      <c r="AW223" t="s">
        <v>225</v>
      </c>
      <c r="AX223" t="s">
        <v>225</v>
      </c>
      <c r="AY223" t="s">
        <v>225</v>
      </c>
      <c r="AZ223" t="s">
        <v>225</v>
      </c>
      <c r="BA223" t="s">
        <v>225</v>
      </c>
      <c r="BB223" t="s">
        <v>225</v>
      </c>
      <c r="BC223" t="s">
        <v>225</v>
      </c>
      <c r="BD223" t="s">
        <v>225</v>
      </c>
      <c r="BE223" t="s">
        <v>225</v>
      </c>
      <c r="BF223" t="s">
        <v>225</v>
      </c>
      <c r="BG223" t="s">
        <v>225</v>
      </c>
      <c r="BH223" t="s">
        <v>225</v>
      </c>
      <c r="BI223" t="s">
        <v>225</v>
      </c>
      <c r="BJ223" t="s">
        <v>225</v>
      </c>
      <c r="BK223" t="s">
        <v>225</v>
      </c>
      <c r="BL223" t="s">
        <v>205</v>
      </c>
      <c r="BO223" t="s">
        <v>197</v>
      </c>
      <c r="BQ223" t="s">
        <v>3563</v>
      </c>
      <c r="BR223">
        <v>1</v>
      </c>
      <c r="BS223">
        <v>0</v>
      </c>
      <c r="BT223">
        <v>0</v>
      </c>
      <c r="BU223" s="5">
        <f>(BS223/8+BT223/4)*39</f>
        <v>0</v>
      </c>
      <c r="BV223">
        <v>0</v>
      </c>
      <c r="BW223">
        <v>0</v>
      </c>
      <c r="BX223">
        <v>0</v>
      </c>
      <c r="BY223">
        <v>0</v>
      </c>
      <c r="BZ223">
        <v>1</v>
      </c>
      <c r="CA223">
        <v>0</v>
      </c>
      <c r="CB223">
        <v>0</v>
      </c>
      <c r="CC223" s="5">
        <f>(BV223+BW223/2+BX223/8+BY223/16+BZ223/4+CA223/32)*39</f>
        <v>9.75</v>
      </c>
      <c r="CD223">
        <v>0</v>
      </c>
      <c r="CE223">
        <v>0</v>
      </c>
      <c r="CF223">
        <v>1.5</v>
      </c>
      <c r="CG223">
        <v>0</v>
      </c>
      <c r="CH223">
        <v>0</v>
      </c>
      <c r="CI223">
        <v>0</v>
      </c>
      <c r="CJ223">
        <v>0</v>
      </c>
      <c r="CK223">
        <f>1/4</f>
        <v>0.25</v>
      </c>
      <c r="CL223" s="5">
        <f>(CD223+CE223/2+CF223/8+CG223/16+CH223/4+CJ223/32+CK223/16)*39</f>
        <v>7.921875</v>
      </c>
      <c r="CM223">
        <v>0</v>
      </c>
      <c r="CN223">
        <v>0</v>
      </c>
      <c r="CO223">
        <v>0</v>
      </c>
      <c r="CP223">
        <v>0</v>
      </c>
      <c r="CQ223">
        <v>0</v>
      </c>
      <c r="CS223">
        <v>1.75</v>
      </c>
      <c r="CT223">
        <v>0</v>
      </c>
      <c r="CU223">
        <v>0</v>
      </c>
      <c r="CV223">
        <v>0</v>
      </c>
      <c r="CW223">
        <f>CS223+CT223/24+CU223/48+CV223/48</f>
        <v>1.75</v>
      </c>
      <c r="CX223">
        <v>0</v>
      </c>
      <c r="CY223" t="s">
        <v>248</v>
      </c>
      <c r="CZ223" t="s">
        <v>210</v>
      </c>
      <c r="DA223" t="s">
        <v>481</v>
      </c>
      <c r="DB223" t="s">
        <v>232</v>
      </c>
      <c r="DC223" t="s">
        <v>262</v>
      </c>
      <c r="DD223" t="s">
        <v>693</v>
      </c>
      <c r="DE223" t="s">
        <v>213</v>
      </c>
      <c r="DF223" t="s">
        <v>216</v>
      </c>
    </row>
    <row r="224" spans="1:114" x14ac:dyDescent="0.25">
      <c r="A224">
        <v>1491</v>
      </c>
      <c r="C224" t="s">
        <v>2483</v>
      </c>
      <c r="D224" t="s">
        <v>3780</v>
      </c>
      <c r="E224" t="s">
        <v>2504</v>
      </c>
      <c r="F224" t="s">
        <v>2484</v>
      </c>
      <c r="I224" t="s">
        <v>3219</v>
      </c>
      <c r="J224" s="16">
        <v>1342</v>
      </c>
      <c r="K224" s="16" t="s">
        <v>817</v>
      </c>
      <c r="L224" t="s">
        <v>15</v>
      </c>
      <c r="M224" s="7" t="s">
        <v>338</v>
      </c>
      <c r="V224" t="s">
        <v>1463</v>
      </c>
      <c r="W224" t="s">
        <v>225</v>
      </c>
      <c r="X224" t="s">
        <v>225</v>
      </c>
      <c r="Y224">
        <v>2</v>
      </c>
      <c r="Z224" t="s">
        <v>225</v>
      </c>
      <c r="AA224" t="s">
        <v>225</v>
      </c>
      <c r="AB224" t="s">
        <v>225</v>
      </c>
      <c r="AC224">
        <v>1</v>
      </c>
      <c r="AD224">
        <v>1</v>
      </c>
      <c r="AE224" t="s">
        <v>225</v>
      </c>
      <c r="AF224" t="s">
        <v>225</v>
      </c>
      <c r="AG224" t="s">
        <v>225</v>
      </c>
      <c r="AH224" t="s">
        <v>225</v>
      </c>
      <c r="AI224" t="s">
        <v>225</v>
      </c>
      <c r="AJ224" t="s">
        <v>225</v>
      </c>
      <c r="AK224" t="s">
        <v>225</v>
      </c>
      <c r="AL224" t="s">
        <v>225</v>
      </c>
      <c r="AM224">
        <v>2</v>
      </c>
      <c r="AN224" t="s">
        <v>225</v>
      </c>
      <c r="AO224" t="s">
        <v>225</v>
      </c>
      <c r="AP224" t="s">
        <v>225</v>
      </c>
      <c r="AQ224" t="s">
        <v>225</v>
      </c>
      <c r="AR224" t="s">
        <v>225</v>
      </c>
      <c r="AS224" t="s">
        <v>225</v>
      </c>
      <c r="AT224" t="s">
        <v>225</v>
      </c>
      <c r="AU224" t="s">
        <v>225</v>
      </c>
      <c r="AV224" t="s">
        <v>225</v>
      </c>
      <c r="AW224" t="s">
        <v>225</v>
      </c>
      <c r="AX224" t="s">
        <v>225</v>
      </c>
      <c r="AY224" t="s">
        <v>225</v>
      </c>
      <c r="AZ224" t="s">
        <v>225</v>
      </c>
      <c r="BA224" t="s">
        <v>225</v>
      </c>
      <c r="BB224" t="s">
        <v>225</v>
      </c>
      <c r="BC224" t="s">
        <v>225</v>
      </c>
      <c r="BD224" t="s">
        <v>225</v>
      </c>
      <c r="BE224" t="s">
        <v>225</v>
      </c>
      <c r="BF224" t="s">
        <v>225</v>
      </c>
      <c r="BG224" t="s">
        <v>225</v>
      </c>
      <c r="BH224" t="s">
        <v>225</v>
      </c>
      <c r="BI224" t="s">
        <v>225</v>
      </c>
      <c r="BJ224" t="s">
        <v>225</v>
      </c>
      <c r="BK224" t="s">
        <v>225</v>
      </c>
      <c r="BL224" t="s">
        <v>225</v>
      </c>
      <c r="BN224" t="s">
        <v>2500</v>
      </c>
      <c r="BQ224" t="s">
        <v>1455</v>
      </c>
      <c r="BR224" s="5">
        <v>0</v>
      </c>
      <c r="BS224" s="5">
        <v>0</v>
      </c>
      <c r="BT224" s="5">
        <v>0</v>
      </c>
      <c r="BU224" s="5">
        <f>(BS224/8+BT224/4)*39</f>
        <v>0</v>
      </c>
      <c r="BV224" s="5">
        <v>0</v>
      </c>
      <c r="BW224" s="5">
        <v>0</v>
      </c>
      <c r="BX224" s="5">
        <v>12</v>
      </c>
      <c r="BY224" s="5">
        <v>0</v>
      </c>
      <c r="BZ224" s="5">
        <v>0</v>
      </c>
      <c r="CA224" s="5">
        <v>0</v>
      </c>
      <c r="CB224" s="5">
        <v>0</v>
      </c>
      <c r="CC224" s="5">
        <f>(BV224+BW224/2+BX224/8+BY224/16+BZ224/4+CA224/32)*39</f>
        <v>58.5</v>
      </c>
      <c r="CD224" s="5">
        <v>0</v>
      </c>
      <c r="CE224" s="5">
        <v>0</v>
      </c>
      <c r="CF224" s="5">
        <v>12</v>
      </c>
      <c r="CG224" s="5">
        <v>0</v>
      </c>
      <c r="CH224" s="5">
        <v>0</v>
      </c>
      <c r="CI224" s="5">
        <v>0</v>
      </c>
      <c r="CJ224" s="5">
        <v>0</v>
      </c>
      <c r="CK224" s="5">
        <v>0</v>
      </c>
      <c r="CL224" s="5">
        <f>(CD224+CE224/2+CF224/8+CG224/16+CH224/4+CJ224/32+CK224/16)*39</f>
        <v>58.5</v>
      </c>
      <c r="CM224" s="5">
        <v>0</v>
      </c>
      <c r="CN224" s="5">
        <v>0</v>
      </c>
      <c r="CO224" s="5">
        <v>0</v>
      </c>
      <c r="CP224" s="5">
        <v>0</v>
      </c>
      <c r="CQ224" s="5">
        <v>0</v>
      </c>
      <c r="CS224">
        <v>7</v>
      </c>
      <c r="CT224">
        <v>0</v>
      </c>
      <c r="CU224">
        <v>0</v>
      </c>
      <c r="CV224">
        <v>0</v>
      </c>
      <c r="CW224">
        <f>CS224+CT224/24+CU224/48+CV224/48</f>
        <v>7</v>
      </c>
      <c r="CX224">
        <v>0</v>
      </c>
      <c r="CY224" t="s">
        <v>2501</v>
      </c>
      <c r="CZ224" t="s">
        <v>210</v>
      </c>
      <c r="DC224" s="26" t="s">
        <v>1569</v>
      </c>
      <c r="DD224" t="s">
        <v>693</v>
      </c>
      <c r="DE224" t="s">
        <v>1230</v>
      </c>
      <c r="DF224" t="s">
        <v>2502</v>
      </c>
      <c r="DG224" t="s">
        <v>2503</v>
      </c>
    </row>
    <row r="225" spans="1:113" x14ac:dyDescent="0.25">
      <c r="A225">
        <v>1331</v>
      </c>
      <c r="B225" t="s">
        <v>3836</v>
      </c>
      <c r="C225" t="s">
        <v>23</v>
      </c>
      <c r="D225" t="s">
        <v>1808</v>
      </c>
      <c r="E225" t="s">
        <v>1810</v>
      </c>
      <c r="I225" t="s">
        <v>219</v>
      </c>
      <c r="J225">
        <v>1343</v>
      </c>
      <c r="K225" t="s">
        <v>1097</v>
      </c>
      <c r="L225">
        <v>12</v>
      </c>
      <c r="M225" s="7" t="s">
        <v>338</v>
      </c>
      <c r="W225">
        <v>1</v>
      </c>
      <c r="X225" t="s">
        <v>225</v>
      </c>
      <c r="Y225" t="s">
        <v>225</v>
      </c>
      <c r="Z225" t="s">
        <v>225</v>
      </c>
      <c r="AA225" t="s">
        <v>225</v>
      </c>
      <c r="AB225" t="s">
        <v>225</v>
      </c>
      <c r="AC225" t="s">
        <v>225</v>
      </c>
      <c r="AD225" t="s">
        <v>225</v>
      </c>
      <c r="AE225" t="s">
        <v>225</v>
      </c>
      <c r="AF225" t="s">
        <v>225</v>
      </c>
      <c r="AG225" t="s">
        <v>225</v>
      </c>
      <c r="AH225" t="s">
        <v>225</v>
      </c>
      <c r="AI225" t="s">
        <v>225</v>
      </c>
      <c r="AJ225" t="s">
        <v>225</v>
      </c>
      <c r="AK225" t="s">
        <v>225</v>
      </c>
      <c r="AL225" t="s">
        <v>225</v>
      </c>
      <c r="AM225" t="s">
        <v>225</v>
      </c>
      <c r="AN225" t="s">
        <v>225</v>
      </c>
      <c r="AO225" t="s">
        <v>225</v>
      </c>
      <c r="AP225" t="s">
        <v>225</v>
      </c>
      <c r="AQ225" t="s">
        <v>225</v>
      </c>
      <c r="AR225" t="s">
        <v>225</v>
      </c>
      <c r="AS225" t="s">
        <v>225</v>
      </c>
      <c r="AT225" t="s">
        <v>225</v>
      </c>
      <c r="AU225" t="s">
        <v>225</v>
      </c>
      <c r="AV225" t="s">
        <v>225</v>
      </c>
      <c r="AW225" t="s">
        <v>225</v>
      </c>
      <c r="AX225" t="s">
        <v>225</v>
      </c>
      <c r="AY225" t="s">
        <v>225</v>
      </c>
      <c r="AZ225" t="s">
        <v>225</v>
      </c>
      <c r="BA225" t="s">
        <v>225</v>
      </c>
      <c r="BB225" t="s">
        <v>225</v>
      </c>
      <c r="BC225" t="s">
        <v>225</v>
      </c>
      <c r="BD225" t="s">
        <v>225</v>
      </c>
      <c r="BE225" t="s">
        <v>225</v>
      </c>
      <c r="BF225" t="s">
        <v>225</v>
      </c>
      <c r="BG225" t="s">
        <v>225</v>
      </c>
      <c r="BH225" t="s">
        <v>225</v>
      </c>
      <c r="BI225" t="s">
        <v>225</v>
      </c>
      <c r="BJ225" t="s">
        <v>225</v>
      </c>
      <c r="BK225" t="s">
        <v>225</v>
      </c>
      <c r="BL225" t="s">
        <v>225</v>
      </c>
      <c r="BR225" s="5">
        <f>9/12</f>
        <v>0.75</v>
      </c>
      <c r="BS225" s="5">
        <v>0</v>
      </c>
      <c r="BT225" s="5">
        <v>0</v>
      </c>
      <c r="BU225" s="5">
        <f>(BS225/8+BT225/4)*39</f>
        <v>0</v>
      </c>
      <c r="BV225" s="5">
        <v>0</v>
      </c>
      <c r="BW225" s="5">
        <v>0</v>
      </c>
      <c r="BX225" s="5">
        <v>0</v>
      </c>
      <c r="BY225" s="5">
        <v>0</v>
      </c>
      <c r="BZ225" s="5">
        <v>0</v>
      </c>
      <c r="CA225" s="5">
        <v>0</v>
      </c>
      <c r="CB225" s="5">
        <v>0</v>
      </c>
      <c r="CC225" s="5">
        <f>(BV225+BW225/2+BX225/8+BY225/16+BZ225/4+CA225/32)*39</f>
        <v>0</v>
      </c>
      <c r="CD225" s="5">
        <v>0</v>
      </c>
      <c r="CE225" s="5">
        <v>0</v>
      </c>
      <c r="CF225" s="5">
        <v>0</v>
      </c>
      <c r="CG225" s="5">
        <v>0</v>
      </c>
      <c r="CH225" s="5">
        <v>0</v>
      </c>
      <c r="CI225" s="5">
        <v>0</v>
      </c>
      <c r="CJ225" s="5">
        <v>0</v>
      </c>
      <c r="CK225" s="5">
        <v>0</v>
      </c>
      <c r="CL225" s="5">
        <f>(CD225+CE225/2+CF225/8+CG225/16+CH225/4+CJ225/32+CK225/16)*39</f>
        <v>0</v>
      </c>
      <c r="CM225" s="5">
        <v>0</v>
      </c>
      <c r="CN225" s="5">
        <v>0</v>
      </c>
      <c r="CO225" s="5">
        <v>0</v>
      </c>
      <c r="CP225" s="5">
        <v>0</v>
      </c>
      <c r="CQ225" s="5">
        <v>0</v>
      </c>
      <c r="CS225">
        <v>0</v>
      </c>
      <c r="CT225">
        <v>0</v>
      </c>
      <c r="CU225">
        <v>0</v>
      </c>
      <c r="CV225">
        <v>0</v>
      </c>
      <c r="CW225">
        <f>CS225+CT225/24+CU225/48+CV225/48</f>
        <v>0</v>
      </c>
      <c r="CX225">
        <v>0</v>
      </c>
      <c r="DA225" t="s">
        <v>1733</v>
      </c>
      <c r="DB225" t="s">
        <v>1884</v>
      </c>
      <c r="DC225" s="16" t="s">
        <v>262</v>
      </c>
      <c r="DD225" s="16" t="s">
        <v>693</v>
      </c>
      <c r="DE225" s="5"/>
      <c r="DF225" s="5"/>
      <c r="DG225" s="5"/>
      <c r="DH225" s="5"/>
      <c r="DI225" s="5"/>
    </row>
    <row r="226" spans="1:113" x14ac:dyDescent="0.25">
      <c r="A226">
        <v>161</v>
      </c>
      <c r="B226" s="36" t="s">
        <v>3840</v>
      </c>
      <c r="C226" t="s">
        <v>250</v>
      </c>
      <c r="D226" t="s">
        <v>1219</v>
      </c>
      <c r="E226" t="s">
        <v>197</v>
      </c>
      <c r="G226" s="40" t="s">
        <v>3960</v>
      </c>
      <c r="I226" t="s">
        <v>219</v>
      </c>
      <c r="J226">
        <v>1342</v>
      </c>
      <c r="K226" t="s">
        <v>198</v>
      </c>
      <c r="L226">
        <v>17</v>
      </c>
      <c r="M226" s="7" t="s">
        <v>338</v>
      </c>
      <c r="N226" t="s">
        <v>236</v>
      </c>
      <c r="BR226" s="5">
        <v>0</v>
      </c>
      <c r="BU226" s="5">
        <f>(BS226/8+BT226/4)*39</f>
        <v>0</v>
      </c>
      <c r="CC226" s="5">
        <f>(BV226+BW226/2+BX226/8+BY226/16+BZ226/4+CA226/32)*39</f>
        <v>0</v>
      </c>
      <c r="CL226" s="5">
        <f>(CD226+CE226/2+CF226/8+CG226/16+CH226/4+CJ226/32+CK226/16)*39</f>
        <v>0</v>
      </c>
      <c r="CW226">
        <f>CS226+CT226/24+CU226/48+CV226/48</f>
        <v>0</v>
      </c>
      <c r="DD226" t="s">
        <v>693</v>
      </c>
    </row>
    <row r="227" spans="1:113" x14ac:dyDescent="0.25">
      <c r="A227">
        <v>1471</v>
      </c>
      <c r="B227" t="s">
        <v>3778</v>
      </c>
      <c r="C227" t="s">
        <v>2481</v>
      </c>
      <c r="D227" t="s">
        <v>1219</v>
      </c>
      <c r="E227" t="s">
        <v>1810</v>
      </c>
      <c r="G227" t="s">
        <v>2482</v>
      </c>
      <c r="I227" t="s">
        <v>3219</v>
      </c>
      <c r="J227" s="16">
        <v>1342</v>
      </c>
      <c r="K227" s="16" t="s">
        <v>817</v>
      </c>
      <c r="L227" t="s">
        <v>15</v>
      </c>
      <c r="M227" s="7" t="s">
        <v>338</v>
      </c>
      <c r="N227" t="s">
        <v>236</v>
      </c>
      <c r="P227" t="s">
        <v>225</v>
      </c>
      <c r="Q227" t="s">
        <v>205</v>
      </c>
      <c r="R227" t="s">
        <v>205</v>
      </c>
      <c r="S227" t="s">
        <v>205</v>
      </c>
      <c r="T227" t="s">
        <v>225</v>
      </c>
      <c r="W227" t="s">
        <v>225</v>
      </c>
      <c r="X227">
        <v>3</v>
      </c>
      <c r="Y227" t="s">
        <v>225</v>
      </c>
      <c r="Z227" t="s">
        <v>225</v>
      </c>
      <c r="AA227">
        <v>2</v>
      </c>
      <c r="AB227" t="s">
        <v>225</v>
      </c>
      <c r="AC227" t="s">
        <v>205</v>
      </c>
      <c r="AD227">
        <v>3</v>
      </c>
      <c r="AE227" t="s">
        <v>225</v>
      </c>
      <c r="AF227" t="s">
        <v>225</v>
      </c>
      <c r="AG227" t="s">
        <v>225</v>
      </c>
      <c r="AH227" t="s">
        <v>225</v>
      </c>
      <c r="AI227" t="s">
        <v>225</v>
      </c>
      <c r="AJ227" t="s">
        <v>225</v>
      </c>
      <c r="AK227">
        <v>1</v>
      </c>
      <c r="AL227">
        <v>1</v>
      </c>
      <c r="AM227">
        <v>1</v>
      </c>
      <c r="AN227" t="s">
        <v>205</v>
      </c>
      <c r="AO227" t="s">
        <v>225</v>
      </c>
      <c r="AP227">
        <v>11</v>
      </c>
      <c r="AQ227" t="s">
        <v>225</v>
      </c>
      <c r="AR227" t="s">
        <v>225</v>
      </c>
      <c r="AS227" t="s">
        <v>225</v>
      </c>
      <c r="AT227" t="s">
        <v>225</v>
      </c>
      <c r="AU227" t="s">
        <v>225</v>
      </c>
      <c r="AV227" t="s">
        <v>225</v>
      </c>
      <c r="AW227" t="s">
        <v>225</v>
      </c>
      <c r="AX227" t="s">
        <v>225</v>
      </c>
      <c r="AY227" t="s">
        <v>225</v>
      </c>
      <c r="AZ227" t="s">
        <v>225</v>
      </c>
      <c r="BA227" t="s">
        <v>225</v>
      </c>
      <c r="BB227" t="s">
        <v>225</v>
      </c>
      <c r="BC227" t="s">
        <v>225</v>
      </c>
      <c r="BD227" t="s">
        <v>225</v>
      </c>
      <c r="BE227" t="s">
        <v>225</v>
      </c>
      <c r="BF227" t="s">
        <v>225</v>
      </c>
      <c r="BG227" t="s">
        <v>225</v>
      </c>
      <c r="BH227" t="s">
        <v>225</v>
      </c>
      <c r="BI227" t="s">
        <v>225</v>
      </c>
      <c r="BJ227" t="s">
        <v>225</v>
      </c>
      <c r="BK227" t="s">
        <v>225</v>
      </c>
      <c r="BL227" t="s">
        <v>225</v>
      </c>
      <c r="BM227" t="s">
        <v>2412</v>
      </c>
      <c r="BN227" t="s">
        <v>2400</v>
      </c>
      <c r="BO227" t="s">
        <v>2401</v>
      </c>
      <c r="BR227" s="5">
        <v>0</v>
      </c>
      <c r="BS227" s="5"/>
      <c r="BT227" s="5"/>
      <c r="BU227" s="5">
        <f>(BS227/8+BT227/4)*39</f>
        <v>0</v>
      </c>
      <c r="BV227" s="5"/>
      <c r="BW227" s="5"/>
      <c r="BX227" s="5"/>
      <c r="BY227" s="5"/>
      <c r="BZ227" s="5"/>
      <c r="CA227" s="5"/>
      <c r="CB227" s="5"/>
      <c r="CC227" s="5">
        <f>(BV227+BW227/2+BX227/8+BY227/16+BZ227/4+CA227/32)*39</f>
        <v>0</v>
      </c>
      <c r="CD227" s="5"/>
      <c r="CE227" s="5"/>
      <c r="CF227" s="5"/>
      <c r="CG227" s="5"/>
      <c r="CH227" s="5"/>
      <c r="CI227" s="5"/>
      <c r="CJ227" s="5"/>
      <c r="CK227" s="5"/>
      <c r="CL227" s="5">
        <f>(CD227+CE227/2+CF227/8+CG227/16+CH227/4+CJ227/32+CK227/16)*39</f>
        <v>0</v>
      </c>
      <c r="CM227" s="5"/>
      <c r="CN227" s="5"/>
      <c r="CO227" s="5"/>
      <c r="CP227" s="5"/>
      <c r="CQ227" s="5"/>
      <c r="CW227">
        <f>CS227+CT227/24+CU227/48+CV227/48</f>
        <v>0</v>
      </c>
    </row>
    <row r="228" spans="1:113" x14ac:dyDescent="0.25">
      <c r="A228">
        <v>1772</v>
      </c>
      <c r="C228" t="s">
        <v>3216</v>
      </c>
      <c r="D228" t="s">
        <v>102</v>
      </c>
      <c r="E228" t="s">
        <v>77</v>
      </c>
      <c r="I228" t="s">
        <v>3219</v>
      </c>
      <c r="J228" s="5">
        <v>1343</v>
      </c>
      <c r="K228" t="s">
        <v>1097</v>
      </c>
      <c r="L228">
        <v>8</v>
      </c>
      <c r="M228" s="7" t="s">
        <v>338</v>
      </c>
      <c r="N228" s="8" t="s">
        <v>1691</v>
      </c>
      <c r="W228" t="s">
        <v>225</v>
      </c>
      <c r="X228" t="s">
        <v>225</v>
      </c>
      <c r="Y228">
        <v>1</v>
      </c>
      <c r="Z228" t="s">
        <v>225</v>
      </c>
      <c r="AA228">
        <v>1</v>
      </c>
      <c r="AB228" t="s">
        <v>225</v>
      </c>
      <c r="AC228">
        <v>1</v>
      </c>
      <c r="AD228" t="s">
        <v>225</v>
      </c>
      <c r="AE228" t="s">
        <v>225</v>
      </c>
      <c r="AF228" t="s">
        <v>225</v>
      </c>
      <c r="AG228" t="s">
        <v>225</v>
      </c>
      <c r="AH228" t="s">
        <v>225</v>
      </c>
      <c r="AI228" t="s">
        <v>225</v>
      </c>
      <c r="AJ228" t="s">
        <v>225</v>
      </c>
      <c r="AK228" t="s">
        <v>225</v>
      </c>
      <c r="AL228" t="s">
        <v>225</v>
      </c>
      <c r="AM228" t="s">
        <v>225</v>
      </c>
      <c r="AN228" t="s">
        <v>225</v>
      </c>
      <c r="AO228" t="s">
        <v>225</v>
      </c>
      <c r="AP228" t="s">
        <v>225</v>
      </c>
      <c r="AQ228" t="s">
        <v>225</v>
      </c>
      <c r="AR228" t="s">
        <v>225</v>
      </c>
      <c r="AS228" t="s">
        <v>225</v>
      </c>
      <c r="AT228" t="s">
        <v>225</v>
      </c>
      <c r="AU228" t="s">
        <v>225</v>
      </c>
      <c r="AV228" t="s">
        <v>225</v>
      </c>
      <c r="AW228" t="s">
        <v>225</v>
      </c>
      <c r="AX228" t="s">
        <v>225</v>
      </c>
      <c r="AY228" t="s">
        <v>225</v>
      </c>
      <c r="AZ228" t="s">
        <v>225</v>
      </c>
      <c r="BA228" t="s">
        <v>225</v>
      </c>
      <c r="BB228" t="s">
        <v>225</v>
      </c>
      <c r="BC228" t="s">
        <v>225</v>
      </c>
      <c r="BD228" t="s">
        <v>225</v>
      </c>
      <c r="BE228" t="s">
        <v>225</v>
      </c>
      <c r="BF228" t="s">
        <v>225</v>
      </c>
      <c r="BG228" t="s">
        <v>225</v>
      </c>
      <c r="BH228" t="s">
        <v>225</v>
      </c>
      <c r="BI228" t="s">
        <v>225</v>
      </c>
      <c r="BJ228" t="s">
        <v>225</v>
      </c>
      <c r="BK228" t="s">
        <v>225</v>
      </c>
      <c r="BL228" t="s">
        <v>225</v>
      </c>
      <c r="BN228" t="s">
        <v>3240</v>
      </c>
      <c r="BQ228" s="1" t="s">
        <v>929</v>
      </c>
      <c r="BR228" s="5">
        <v>0</v>
      </c>
      <c r="BS228" s="5">
        <v>0</v>
      </c>
      <c r="BT228" s="5">
        <v>0</v>
      </c>
      <c r="BU228" s="5">
        <f>(BS228/8+BT228/4)*39</f>
        <v>0</v>
      </c>
      <c r="BV228" s="5">
        <v>0</v>
      </c>
      <c r="BW228" s="5">
        <v>0</v>
      </c>
      <c r="BX228" s="5">
        <v>0</v>
      </c>
      <c r="BY228" s="5">
        <v>1</v>
      </c>
      <c r="BZ228" s="5">
        <v>0</v>
      </c>
      <c r="CA228" s="5">
        <v>0</v>
      </c>
      <c r="CB228" s="5">
        <v>0</v>
      </c>
      <c r="CC228" s="5">
        <f>(BV228+BW228/2+BX228/8+BY228/16+BZ228/4+CA228/32)*39</f>
        <v>2.4375</v>
      </c>
      <c r="CD228" s="5">
        <v>0</v>
      </c>
      <c r="CE228" s="5">
        <v>0</v>
      </c>
      <c r="CF228" s="5">
        <v>0</v>
      </c>
      <c r="CG228" s="5">
        <v>0</v>
      </c>
      <c r="CH228" s="5">
        <v>0</v>
      </c>
      <c r="CI228" s="5">
        <v>0</v>
      </c>
      <c r="CJ228" s="5">
        <v>0</v>
      </c>
      <c r="CK228" s="5">
        <v>0</v>
      </c>
      <c r="CL228" s="5">
        <f>(CD228+CE228/2+CF228/8+CG228/16+CH228/4+CJ228/32+CK228/16)*39</f>
        <v>0</v>
      </c>
      <c r="CM228" s="5">
        <v>0</v>
      </c>
      <c r="CN228" s="5">
        <v>0</v>
      </c>
      <c r="CO228" s="5">
        <v>0</v>
      </c>
      <c r="CP228" s="5">
        <v>0</v>
      </c>
      <c r="CQ228" s="5">
        <v>0</v>
      </c>
      <c r="CS228">
        <v>0</v>
      </c>
      <c r="CT228">
        <v>0</v>
      </c>
      <c r="CU228">
        <v>0</v>
      </c>
      <c r="CV228">
        <v>0</v>
      </c>
      <c r="CW228">
        <f>CS228+CT228/24+CU228/48+CV228/48</f>
        <v>0</v>
      </c>
      <c r="CX228">
        <v>0</v>
      </c>
      <c r="CZ228" t="s">
        <v>210</v>
      </c>
      <c r="DC228" t="s">
        <v>3241</v>
      </c>
      <c r="DD228" t="s">
        <v>693</v>
      </c>
      <c r="DE228" t="s">
        <v>542</v>
      </c>
      <c r="DF228" t="s">
        <v>3242</v>
      </c>
    </row>
    <row r="229" spans="1:113" x14ac:dyDescent="0.25">
      <c r="A229">
        <v>1782</v>
      </c>
      <c r="C229" t="s">
        <v>465</v>
      </c>
      <c r="D229" t="s">
        <v>102</v>
      </c>
      <c r="E229" t="s">
        <v>77</v>
      </c>
      <c r="I229" t="s">
        <v>219</v>
      </c>
      <c r="J229" s="5">
        <v>1343</v>
      </c>
      <c r="K229" t="s">
        <v>1097</v>
      </c>
      <c r="L229">
        <v>21</v>
      </c>
      <c r="M229" s="7" t="s">
        <v>338</v>
      </c>
      <c r="N229" s="8" t="s">
        <v>1691</v>
      </c>
      <c r="V229" t="s">
        <v>1463</v>
      </c>
      <c r="W229" t="s">
        <v>225</v>
      </c>
      <c r="X229" t="s">
        <v>225</v>
      </c>
      <c r="Y229">
        <v>1</v>
      </c>
      <c r="Z229" t="s">
        <v>225</v>
      </c>
      <c r="AA229">
        <v>1</v>
      </c>
      <c r="AB229" t="s">
        <v>225</v>
      </c>
      <c r="AC229">
        <v>1</v>
      </c>
      <c r="AD229" t="s">
        <v>225</v>
      </c>
      <c r="AE229" t="s">
        <v>225</v>
      </c>
      <c r="AF229" t="s">
        <v>225</v>
      </c>
      <c r="AG229" t="s">
        <v>225</v>
      </c>
      <c r="AH229" t="s">
        <v>225</v>
      </c>
      <c r="AI229" t="s">
        <v>225</v>
      </c>
      <c r="AJ229" t="s">
        <v>225</v>
      </c>
      <c r="AK229" t="s">
        <v>225</v>
      </c>
      <c r="AL229" t="s">
        <v>225</v>
      </c>
      <c r="AM229" t="s">
        <v>225</v>
      </c>
      <c r="AN229" t="s">
        <v>225</v>
      </c>
      <c r="AO229" t="s">
        <v>225</v>
      </c>
      <c r="AP229" t="s">
        <v>225</v>
      </c>
      <c r="AQ229" t="s">
        <v>225</v>
      </c>
      <c r="AR229" t="s">
        <v>225</v>
      </c>
      <c r="AS229" t="s">
        <v>225</v>
      </c>
      <c r="AT229" t="s">
        <v>225</v>
      </c>
      <c r="AU229" t="s">
        <v>225</v>
      </c>
      <c r="AV229" t="s">
        <v>225</v>
      </c>
      <c r="AW229" t="s">
        <v>225</v>
      </c>
      <c r="AX229" t="s">
        <v>225</v>
      </c>
      <c r="AY229" t="s">
        <v>225</v>
      </c>
      <c r="AZ229" t="s">
        <v>225</v>
      </c>
      <c r="BA229" t="s">
        <v>225</v>
      </c>
      <c r="BB229" t="s">
        <v>225</v>
      </c>
      <c r="BC229" t="s">
        <v>225</v>
      </c>
      <c r="BD229" t="s">
        <v>225</v>
      </c>
      <c r="BE229" t="s">
        <v>225</v>
      </c>
      <c r="BF229" t="s">
        <v>225</v>
      </c>
      <c r="BG229" t="s">
        <v>225</v>
      </c>
      <c r="BH229" t="s">
        <v>225</v>
      </c>
      <c r="BI229" t="s">
        <v>225</v>
      </c>
      <c r="BJ229" t="s">
        <v>225</v>
      </c>
      <c r="BK229" t="s">
        <v>225</v>
      </c>
      <c r="BL229" t="s">
        <v>225</v>
      </c>
      <c r="BN229" t="s">
        <v>3240</v>
      </c>
      <c r="BQ229" t="s">
        <v>539</v>
      </c>
      <c r="BR229" s="5">
        <v>0</v>
      </c>
      <c r="BS229" s="5">
        <v>0</v>
      </c>
      <c r="BT229" s="5">
        <v>0</v>
      </c>
      <c r="BU229" s="5">
        <f>(BS229/8+BT229/4)*39</f>
        <v>0</v>
      </c>
      <c r="BV229" s="5">
        <v>0</v>
      </c>
      <c r="BW229" s="5">
        <v>0</v>
      </c>
      <c r="BX229" s="5">
        <v>0</v>
      </c>
      <c r="BY229" s="5">
        <v>1</v>
      </c>
      <c r="BZ229" s="5">
        <v>0</v>
      </c>
      <c r="CA229" s="5">
        <v>0</v>
      </c>
      <c r="CB229" s="5">
        <v>0</v>
      </c>
      <c r="CC229" s="5">
        <f>(BV229+BW229/2+BX229/8+BY229/16+BZ229/4+CA229/32)*39</f>
        <v>2.4375</v>
      </c>
      <c r="CD229" s="5">
        <v>0</v>
      </c>
      <c r="CE229" s="5">
        <v>0</v>
      </c>
      <c r="CF229" s="5">
        <v>0</v>
      </c>
      <c r="CG229" s="5">
        <v>0</v>
      </c>
      <c r="CH229" s="5">
        <v>0</v>
      </c>
      <c r="CI229" s="5">
        <v>0</v>
      </c>
      <c r="CJ229" s="5">
        <v>0</v>
      </c>
      <c r="CK229" s="5">
        <v>0</v>
      </c>
      <c r="CL229" s="5">
        <f>(CD229+CE229/2+CF229/8+CG229/16+CH229/4+CJ229/32+CK229/16)*39</f>
        <v>0</v>
      </c>
      <c r="CM229" s="5">
        <v>0</v>
      </c>
      <c r="CN229" s="5">
        <v>0</v>
      </c>
      <c r="CO229" s="5">
        <v>0</v>
      </c>
      <c r="CP229" s="5">
        <v>0</v>
      </c>
      <c r="CQ229" s="5">
        <v>0</v>
      </c>
      <c r="CS229">
        <v>0</v>
      </c>
      <c r="CT229">
        <v>0</v>
      </c>
      <c r="CU229">
        <v>0</v>
      </c>
      <c r="CV229">
        <v>0</v>
      </c>
      <c r="CW229">
        <f>CS229+CT229/24+CU229/48+CV229/48</f>
        <v>0</v>
      </c>
      <c r="CX229">
        <v>0</v>
      </c>
      <c r="CZ229" t="s">
        <v>210</v>
      </c>
      <c r="DC229" t="s">
        <v>3261</v>
      </c>
      <c r="DD229" t="s">
        <v>693</v>
      </c>
      <c r="DE229" t="s">
        <v>3262</v>
      </c>
      <c r="DF229" t="s">
        <v>3263</v>
      </c>
      <c r="DG229" t="s">
        <v>3264</v>
      </c>
      <c r="DH229" t="s">
        <v>3265</v>
      </c>
    </row>
    <row r="230" spans="1:113" x14ac:dyDescent="0.25">
      <c r="A230">
        <v>1313</v>
      </c>
      <c r="C230" t="s">
        <v>1768</v>
      </c>
      <c r="D230" t="s">
        <v>1769</v>
      </c>
      <c r="E230" t="s">
        <v>1762</v>
      </c>
      <c r="G230" t="s">
        <v>1770</v>
      </c>
      <c r="H230" t="s">
        <v>1771</v>
      </c>
      <c r="I230" t="s">
        <v>220</v>
      </c>
      <c r="J230">
        <v>1343</v>
      </c>
      <c r="K230" t="s">
        <v>1097</v>
      </c>
      <c r="L230">
        <v>11</v>
      </c>
      <c r="M230" s="7" t="s">
        <v>338</v>
      </c>
      <c r="N230" t="s">
        <v>1691</v>
      </c>
      <c r="W230" t="s">
        <v>225</v>
      </c>
      <c r="X230" t="s">
        <v>225</v>
      </c>
      <c r="Y230">
        <v>1</v>
      </c>
      <c r="Z230" t="s">
        <v>225</v>
      </c>
      <c r="AA230" t="s">
        <v>225</v>
      </c>
      <c r="AB230" t="s">
        <v>225</v>
      </c>
      <c r="AC230" t="s">
        <v>225</v>
      </c>
      <c r="AD230" t="s">
        <v>225</v>
      </c>
      <c r="AE230" t="s">
        <v>225</v>
      </c>
      <c r="AF230" t="s">
        <v>225</v>
      </c>
      <c r="AG230" t="s">
        <v>225</v>
      </c>
      <c r="AH230" t="s">
        <v>225</v>
      </c>
      <c r="AI230" t="s">
        <v>225</v>
      </c>
      <c r="AJ230" t="s">
        <v>225</v>
      </c>
      <c r="AK230" t="s">
        <v>225</v>
      </c>
      <c r="AL230" t="s">
        <v>225</v>
      </c>
      <c r="AM230" t="s">
        <v>225</v>
      </c>
      <c r="AN230" t="s">
        <v>225</v>
      </c>
      <c r="AO230" t="s">
        <v>225</v>
      </c>
      <c r="AP230" t="s">
        <v>225</v>
      </c>
      <c r="AQ230" t="s">
        <v>225</v>
      </c>
      <c r="AR230" t="s">
        <v>225</v>
      </c>
      <c r="AS230" t="s">
        <v>225</v>
      </c>
      <c r="AT230" t="s">
        <v>225</v>
      </c>
      <c r="AU230" t="s">
        <v>225</v>
      </c>
      <c r="AV230" t="s">
        <v>225</v>
      </c>
      <c r="AW230" t="s">
        <v>225</v>
      </c>
      <c r="AX230" t="s">
        <v>225</v>
      </c>
      <c r="AY230" t="s">
        <v>225</v>
      </c>
      <c r="AZ230" t="s">
        <v>225</v>
      </c>
      <c r="BA230" t="s">
        <v>225</v>
      </c>
      <c r="BB230" t="s">
        <v>225</v>
      </c>
      <c r="BC230" t="s">
        <v>225</v>
      </c>
      <c r="BD230" t="s">
        <v>225</v>
      </c>
      <c r="BE230" t="s">
        <v>225</v>
      </c>
      <c r="BF230" t="s">
        <v>225</v>
      </c>
      <c r="BG230" t="s">
        <v>225</v>
      </c>
      <c r="BH230" t="s">
        <v>225</v>
      </c>
      <c r="BI230" t="s">
        <v>225</v>
      </c>
      <c r="BJ230" t="s">
        <v>225</v>
      </c>
      <c r="BK230" t="s">
        <v>225</v>
      </c>
      <c r="BL230" t="s">
        <v>225</v>
      </c>
      <c r="BN230" s="5" t="s">
        <v>398</v>
      </c>
      <c r="BR230" s="5">
        <v>0</v>
      </c>
      <c r="BS230" s="5">
        <v>0</v>
      </c>
      <c r="BT230" s="5">
        <v>0</v>
      </c>
      <c r="BU230" s="5">
        <f>(BS230/8+BT230/4)*39</f>
        <v>0</v>
      </c>
      <c r="BV230" s="5">
        <v>0</v>
      </c>
      <c r="BW230" s="5">
        <v>0</v>
      </c>
      <c r="BX230" s="5">
        <v>0</v>
      </c>
      <c r="BY230" s="5">
        <v>0</v>
      </c>
      <c r="BZ230" s="5">
        <v>0</v>
      </c>
      <c r="CA230" s="5">
        <v>0</v>
      </c>
      <c r="CB230" s="5">
        <v>0</v>
      </c>
      <c r="CC230" s="5">
        <f>(BV230+BW230/2+BX230/8+BY230/16+BZ230/4+CA230/32)*39</f>
        <v>0</v>
      </c>
      <c r="CD230" s="5">
        <v>0</v>
      </c>
      <c r="CE230" s="5">
        <v>0</v>
      </c>
      <c r="CF230" s="5">
        <v>0</v>
      </c>
      <c r="CG230" s="5">
        <v>0</v>
      </c>
      <c r="CH230" s="5">
        <v>0</v>
      </c>
      <c r="CI230" s="5">
        <v>0</v>
      </c>
      <c r="CJ230" s="5">
        <v>0</v>
      </c>
      <c r="CK230" s="5">
        <v>0</v>
      </c>
      <c r="CL230" s="5">
        <f>(CD230+CE230/2+CF230/8+CG230/16+CH230/4+CJ230/32+CK230/16)*39</f>
        <v>0</v>
      </c>
      <c r="CM230" s="5">
        <v>0</v>
      </c>
      <c r="CN230" s="5">
        <v>0</v>
      </c>
      <c r="CO230" s="5">
        <v>0</v>
      </c>
      <c r="CP230" s="5">
        <v>0</v>
      </c>
      <c r="CQ230" s="5">
        <v>0</v>
      </c>
      <c r="CS230">
        <f>1/12</f>
        <v>8.3333333333333329E-2</v>
      </c>
      <c r="CT230">
        <v>0</v>
      </c>
      <c r="CU230">
        <v>0</v>
      </c>
      <c r="CV230">
        <v>0</v>
      </c>
      <c r="CW230">
        <f>CS230+CT230/24+CU230/48+CV230/48</f>
        <v>8.3333333333333329E-2</v>
      </c>
      <c r="CX230">
        <v>0</v>
      </c>
      <c r="CZ230" t="s">
        <v>210</v>
      </c>
      <c r="DC230" t="s">
        <v>1767</v>
      </c>
      <c r="DD230" t="s">
        <v>693</v>
      </c>
      <c r="DE230" t="s">
        <v>1712</v>
      </c>
      <c r="DF230" t="s">
        <v>1713</v>
      </c>
    </row>
    <row r="231" spans="1:113" x14ac:dyDescent="0.25">
      <c r="BR231">
        <f>SUM(BR2:BR230)</f>
        <v>83.93154761904762</v>
      </c>
      <c r="BU231">
        <f>SUM(BU2:BU230)</f>
        <v>29.25</v>
      </c>
      <c r="CC231">
        <f>SUM(CC2:CC230)</f>
        <v>4555.1651785714284</v>
      </c>
      <c r="CL231">
        <f>SUM(CL2:CL230)</f>
        <v>2482.4370535714288</v>
      </c>
      <c r="CW231">
        <f>SUM(CW2:CW230)/20</f>
        <v>47.234774305555547</v>
      </c>
      <c r="CX231">
        <f>SUM(CX2:CX230)</f>
        <v>1.5000000000000002</v>
      </c>
    </row>
    <row r="241" spans="103:103" x14ac:dyDescent="0.25">
      <c r="CY241">
        <f>(CW231*401)/254</f>
        <v>74.571435025699898</v>
      </c>
    </row>
  </sheetData>
  <autoFilter ref="A1:DJ231" xr:uid="{4C67D0DD-19CD-42F2-B481-19A465DB5FC4}">
    <sortState xmlns:xlrd2="http://schemas.microsoft.com/office/spreadsheetml/2017/richdata2" ref="A2:DJ230">
      <sortCondition ref="D2:D230"/>
      <sortCondition ref="K2:K230"/>
      <sortCondition ref="L2:L230"/>
    </sortState>
  </autoFilter>
  <sortState xmlns:xlrd2="http://schemas.microsoft.com/office/spreadsheetml/2017/richdata2" ref="A2:DJ241">
    <sortCondition ref="D2:D241"/>
  </sortState>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3721E-0C84-4CC8-8AF1-9A6779083218}">
  <dimension ref="A3:EN85"/>
  <sheetViews>
    <sheetView topLeftCell="B1" workbookViewId="0">
      <selection activeCell="A60" sqref="A60"/>
    </sheetView>
  </sheetViews>
  <sheetFormatPr baseColWidth="10" defaultRowHeight="15" x14ac:dyDescent="0.25"/>
  <cols>
    <col min="1" max="1" width="25.7109375" bestFit="1" customWidth="1"/>
    <col min="2" max="2" width="23.85546875" bestFit="1" customWidth="1"/>
    <col min="3" max="3" width="35.42578125" bestFit="1" customWidth="1"/>
    <col min="4" max="4" width="28.7109375" bestFit="1" customWidth="1"/>
    <col min="5" max="5" width="14" bestFit="1" customWidth="1"/>
    <col min="6" max="6" width="8.7109375" bestFit="1" customWidth="1"/>
    <col min="7" max="7" width="16.7109375" bestFit="1" customWidth="1"/>
    <col min="8" max="8" width="8.7109375" bestFit="1" customWidth="1"/>
    <col min="9" max="9" width="9.5703125" bestFit="1" customWidth="1"/>
    <col min="10" max="10" width="6.7109375" bestFit="1" customWidth="1"/>
    <col min="11" max="11" width="8.140625" bestFit="1" customWidth="1"/>
    <col min="12" max="12" width="6.5703125" bestFit="1" customWidth="1"/>
    <col min="13" max="13" width="8.85546875" bestFit="1" customWidth="1"/>
    <col min="14" max="14" width="6.7109375" bestFit="1" customWidth="1"/>
    <col min="15" max="15" width="13.85546875" bestFit="1" customWidth="1"/>
    <col min="16" max="16" width="7.5703125" bestFit="1" customWidth="1"/>
    <col min="17" max="17" width="15.42578125" bestFit="1" customWidth="1"/>
    <col min="18" max="18" width="14.5703125" bestFit="1" customWidth="1"/>
    <col min="19" max="19" width="7.140625" bestFit="1" customWidth="1"/>
    <col min="20" max="20" width="16.42578125" bestFit="1" customWidth="1"/>
    <col min="21" max="21" width="43.7109375" bestFit="1" customWidth="1"/>
    <col min="22" max="22" width="8" bestFit="1" customWidth="1"/>
    <col min="23" max="23" width="16.7109375" bestFit="1" customWidth="1"/>
    <col min="24" max="24" width="10" bestFit="1" customWidth="1"/>
    <col min="25" max="25" width="11" bestFit="1" customWidth="1"/>
    <col min="26" max="26" width="12" bestFit="1" customWidth="1"/>
    <col min="27" max="27" width="9.28515625" bestFit="1" customWidth="1"/>
    <col min="28" max="28" width="9.5703125" bestFit="1" customWidth="1"/>
    <col min="29" max="29" width="8.7109375" bestFit="1" customWidth="1"/>
    <col min="30" max="30" width="10.28515625" bestFit="1" customWidth="1"/>
    <col min="31" max="31" width="3.7109375" bestFit="1" customWidth="1"/>
    <col min="32" max="32" width="9.42578125" bestFit="1" customWidth="1"/>
    <col min="33" max="33" width="8.28515625" bestFit="1" customWidth="1"/>
    <col min="34" max="34" width="8.5703125" bestFit="1" customWidth="1"/>
    <col min="35" max="35" width="14.85546875" bestFit="1" customWidth="1"/>
    <col min="36" max="36" width="8.42578125" bestFit="1" customWidth="1"/>
    <col min="37" max="37" width="12" bestFit="1" customWidth="1"/>
    <col min="38" max="38" width="4.42578125" bestFit="1" customWidth="1"/>
    <col min="39" max="39" width="6.7109375" bestFit="1" customWidth="1"/>
    <col min="40" max="40" width="8.7109375" bestFit="1" customWidth="1"/>
    <col min="41" max="41" width="9.28515625" bestFit="1" customWidth="1"/>
    <col min="42" max="42" width="20.28515625" bestFit="1" customWidth="1"/>
    <col min="43" max="43" width="18.28515625" bestFit="1" customWidth="1"/>
    <col min="44" max="44" width="15.7109375" bestFit="1" customWidth="1"/>
    <col min="45" max="45" width="20" bestFit="1" customWidth="1"/>
    <col min="46" max="46" width="19" bestFit="1" customWidth="1"/>
    <col min="47" max="47" width="17.42578125" bestFit="1" customWidth="1"/>
    <col min="48" max="48" width="22.42578125" bestFit="1" customWidth="1"/>
    <col min="49" max="49" width="16.85546875" bestFit="1" customWidth="1"/>
    <col min="50" max="50" width="19.5703125" bestFit="1" customWidth="1"/>
    <col min="51" max="51" width="17.140625" bestFit="1" customWidth="1"/>
    <col min="52" max="52" width="21.85546875" bestFit="1" customWidth="1"/>
    <col min="53" max="53" width="19.42578125" bestFit="1" customWidth="1"/>
    <col min="54" max="54" width="9.28515625" bestFit="1" customWidth="1"/>
    <col min="55" max="55" width="12.5703125" bestFit="1" customWidth="1"/>
    <col min="56" max="56" width="8.5703125" bestFit="1" customWidth="1"/>
    <col min="57" max="57" width="7.28515625" bestFit="1" customWidth="1"/>
    <col min="58" max="58" width="39.7109375" bestFit="1" customWidth="1"/>
    <col min="59" max="59" width="43.7109375" bestFit="1" customWidth="1"/>
    <col min="60" max="60" width="5.85546875" bestFit="1" customWidth="1"/>
    <col min="61" max="61" width="6.7109375" bestFit="1" customWidth="1"/>
    <col min="62" max="62" width="61.140625" bestFit="1" customWidth="1"/>
    <col min="63" max="63" width="80.7109375" bestFit="1" customWidth="1"/>
    <col min="64" max="64" width="58" bestFit="1" customWidth="1"/>
    <col min="65" max="65" width="10.140625" bestFit="1" customWidth="1"/>
    <col min="66" max="66" width="8.85546875" bestFit="1" customWidth="1"/>
    <col min="67" max="67" width="8" bestFit="1" customWidth="1"/>
    <col min="68" max="68" width="10.140625" bestFit="1" customWidth="1"/>
    <col min="69" max="69" width="7.42578125" bestFit="1" customWidth="1"/>
    <col min="70" max="70" width="11.85546875" bestFit="1" customWidth="1"/>
    <col min="71" max="71" width="13.140625" bestFit="1" customWidth="1"/>
    <col min="72" max="72" width="12.5703125" bestFit="1" customWidth="1"/>
    <col min="73" max="73" width="18.7109375" bestFit="1" customWidth="1"/>
    <col min="74" max="74" width="13.140625" bestFit="1" customWidth="1"/>
    <col min="75" max="75" width="14.85546875" bestFit="1" customWidth="1"/>
    <col min="76" max="76" width="15.140625" bestFit="1" customWidth="1"/>
    <col min="77" max="77" width="13.85546875" bestFit="1" customWidth="1"/>
    <col min="78" max="78" width="11" bestFit="1" customWidth="1"/>
    <col min="79" max="79" width="28.85546875" bestFit="1" customWidth="1"/>
    <col min="80" max="80" width="16.28515625" bestFit="1" customWidth="1"/>
    <col min="81" max="81" width="18.5703125" bestFit="1" customWidth="1"/>
    <col min="82" max="82" width="29.85546875" bestFit="1" customWidth="1"/>
    <col min="83" max="83" width="15.5703125" bestFit="1" customWidth="1"/>
    <col min="84" max="84" width="15.28515625" bestFit="1" customWidth="1"/>
    <col min="85" max="85" width="26.7109375" bestFit="1" customWidth="1"/>
    <col min="86" max="86" width="14.140625" bestFit="1" customWidth="1"/>
    <col min="87" max="87" width="12.5703125" bestFit="1" customWidth="1"/>
    <col min="88" max="88" width="12" bestFit="1" customWidth="1"/>
    <col min="89" max="89" width="16.28515625" bestFit="1" customWidth="1"/>
    <col min="90" max="90" width="45.7109375" bestFit="1" customWidth="1"/>
    <col min="91" max="91" width="32.85546875" bestFit="1" customWidth="1"/>
    <col min="92" max="92" width="12.5703125" bestFit="1" customWidth="1"/>
    <col min="93" max="93" width="35" bestFit="1" customWidth="1"/>
    <col min="94" max="94" width="12.28515625" bestFit="1" customWidth="1"/>
    <col min="95" max="95" width="22.140625" bestFit="1" customWidth="1"/>
    <col min="96" max="96" width="25.28515625" bestFit="1" customWidth="1"/>
    <col min="97" max="97" width="20.85546875" bestFit="1" customWidth="1"/>
    <col min="98" max="98" width="20.28515625" bestFit="1" customWidth="1"/>
    <col min="99" max="99" width="7" bestFit="1" customWidth="1"/>
    <col min="100" max="100" width="9.28515625" bestFit="1" customWidth="1"/>
    <col min="101" max="101" width="13.7109375" bestFit="1" customWidth="1"/>
    <col min="102" max="102" width="9.28515625" bestFit="1" customWidth="1"/>
    <col min="103" max="103" width="9.7109375" bestFit="1" customWidth="1"/>
    <col min="104" max="104" width="6.140625" bestFit="1" customWidth="1"/>
    <col min="105" max="105" width="13.140625" bestFit="1" customWidth="1"/>
    <col min="106" max="106" width="10.85546875" bestFit="1" customWidth="1"/>
    <col min="107" max="107" width="10.42578125" bestFit="1" customWidth="1"/>
    <col min="108" max="108" width="9.5703125" bestFit="1" customWidth="1"/>
    <col min="109" max="109" width="32.28515625" bestFit="1" customWidth="1"/>
    <col min="110" max="110" width="7.28515625" bestFit="1" customWidth="1"/>
    <col min="111" max="111" width="15" bestFit="1" customWidth="1"/>
    <col min="112" max="112" width="11.85546875" bestFit="1" customWidth="1"/>
    <col min="113" max="113" width="12.140625" bestFit="1" customWidth="1"/>
    <col min="114" max="114" width="6.42578125" bestFit="1" customWidth="1"/>
    <col min="115" max="115" width="12.7109375" bestFit="1" customWidth="1"/>
    <col min="116" max="116" width="5.5703125" bestFit="1" customWidth="1"/>
    <col min="117" max="117" width="31.5703125" bestFit="1" customWidth="1"/>
    <col min="118" max="118" width="12.7109375" bestFit="1" customWidth="1"/>
    <col min="119" max="119" width="7.42578125" bestFit="1" customWidth="1"/>
    <col min="120" max="120" width="19.28515625" bestFit="1" customWidth="1"/>
    <col min="121" max="121" width="23.85546875" bestFit="1" customWidth="1"/>
    <col min="122" max="122" width="23.5703125" bestFit="1" customWidth="1"/>
    <col min="123" max="123" width="6.28515625" bestFit="1" customWidth="1"/>
    <col min="124" max="124" width="9.85546875" bestFit="1" customWidth="1"/>
    <col min="125" max="125" width="15.42578125" bestFit="1" customWidth="1"/>
    <col min="126" max="126" width="26.5703125" bestFit="1" customWidth="1"/>
    <col min="127" max="127" width="15.42578125" bestFit="1" customWidth="1"/>
    <col min="128" max="128" width="13" bestFit="1" customWidth="1"/>
    <col min="129" max="129" width="10.140625" bestFit="1" customWidth="1"/>
    <col min="130" max="130" width="13.7109375" bestFit="1" customWidth="1"/>
    <col min="131" max="131" width="7.28515625" bestFit="1" customWidth="1"/>
    <col min="132" max="132" width="7.42578125" bestFit="1" customWidth="1"/>
    <col min="133" max="133" width="6.42578125" bestFit="1" customWidth="1"/>
    <col min="134" max="134" width="10.7109375" bestFit="1" customWidth="1"/>
    <col min="135" max="135" width="8.85546875" bestFit="1" customWidth="1"/>
    <col min="136" max="136" width="29" bestFit="1" customWidth="1"/>
    <col min="137" max="137" width="12.5703125" bestFit="1" customWidth="1"/>
    <col min="138" max="138" width="21.5703125" bestFit="1" customWidth="1"/>
    <col min="139" max="139" width="30.5703125" bestFit="1" customWidth="1"/>
    <col min="140" max="140" width="6.140625" bestFit="1" customWidth="1"/>
    <col min="141" max="141" width="9.85546875" bestFit="1" customWidth="1"/>
    <col min="142" max="142" width="7.85546875" bestFit="1" customWidth="1"/>
    <col min="143" max="143" width="6.28515625" bestFit="1" customWidth="1"/>
    <col min="144" max="144" width="12.5703125" bestFit="1" customWidth="1"/>
    <col min="145" max="145" width="9.85546875" bestFit="1" customWidth="1"/>
    <col min="146" max="146" width="7.85546875" bestFit="1" customWidth="1"/>
    <col min="147" max="147" width="6.28515625" bestFit="1" customWidth="1"/>
    <col min="148" max="148" width="12.5703125" bestFit="1" customWidth="1"/>
    <col min="149" max="149" width="7.85546875" bestFit="1" customWidth="1"/>
    <col min="150" max="150" width="6.28515625" bestFit="1" customWidth="1"/>
    <col min="151" max="151" width="12.5703125" bestFit="1" customWidth="1"/>
    <col min="152" max="152" width="6.28515625" bestFit="1" customWidth="1"/>
    <col min="153" max="154" width="12.5703125" bestFit="1" customWidth="1"/>
    <col min="155" max="155" width="6.28515625" bestFit="1" customWidth="1"/>
    <col min="156" max="157" width="12.5703125" bestFit="1" customWidth="1"/>
    <col min="158" max="158" width="6.140625" bestFit="1" customWidth="1"/>
    <col min="159" max="159" width="9.85546875" bestFit="1" customWidth="1"/>
    <col min="160" max="160" width="7.85546875" bestFit="1" customWidth="1"/>
    <col min="161" max="161" width="6.28515625" bestFit="1" customWidth="1"/>
    <col min="162" max="162" width="12.5703125" bestFit="1" customWidth="1"/>
    <col min="163" max="163" width="6.140625" bestFit="1" customWidth="1"/>
    <col min="164" max="164" width="9.85546875" bestFit="1" customWidth="1"/>
    <col min="165" max="165" width="7.85546875" bestFit="1" customWidth="1"/>
    <col min="166" max="166" width="6.28515625" bestFit="1" customWidth="1"/>
    <col min="167" max="170" width="12.5703125" bestFit="1" customWidth="1"/>
    <col min="171" max="171" width="12.42578125" bestFit="1" customWidth="1"/>
    <col min="172" max="172" width="12.28515625" bestFit="1" customWidth="1"/>
    <col min="173" max="173" width="12.5703125" bestFit="1" customWidth="1"/>
    <col min="174" max="174" width="12.42578125" bestFit="1" customWidth="1"/>
    <col min="175" max="175" width="12.28515625" bestFit="1" customWidth="1"/>
    <col min="176" max="180" width="12.5703125" bestFit="1" customWidth="1"/>
    <col min="181" max="181" width="8.7109375" bestFit="1" customWidth="1"/>
    <col min="182" max="182" width="6.7109375" bestFit="1" customWidth="1"/>
    <col min="183" max="183" width="12.5703125" bestFit="1" customWidth="1"/>
    <col min="184" max="184" width="8.7109375" bestFit="1" customWidth="1"/>
    <col min="185" max="185" width="6.7109375" bestFit="1" customWidth="1"/>
    <col min="186" max="194" width="12.5703125" bestFit="1" customWidth="1"/>
    <col min="195" max="195" width="15.7109375" bestFit="1" customWidth="1"/>
    <col min="196" max="196" width="8.7109375" bestFit="1" customWidth="1"/>
    <col min="197" max="197" width="12.5703125" bestFit="1" customWidth="1"/>
  </cols>
  <sheetData>
    <row r="3" spans="1:144" x14ac:dyDescent="0.25">
      <c r="A3" s="29" t="s">
        <v>3866</v>
      </c>
      <c r="B3" s="29" t="s">
        <v>3865</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row>
    <row r="4" spans="1:144" x14ac:dyDescent="0.25">
      <c r="A4" s="29" t="s">
        <v>3862</v>
      </c>
      <c r="B4" s="30" t="s">
        <v>15</v>
      </c>
      <c r="C4" s="30" t="s">
        <v>704</v>
      </c>
      <c r="D4" s="30" t="s">
        <v>3173</v>
      </c>
      <c r="E4" s="30" t="s">
        <v>711</v>
      </c>
      <c r="F4" s="30" t="s">
        <v>3870</v>
      </c>
      <c r="G4" s="30" t="s">
        <v>1262</v>
      </c>
      <c r="H4" s="30" t="s">
        <v>2739</v>
      </c>
      <c r="I4" s="30" t="s">
        <v>2987</v>
      </c>
      <c r="J4" s="30" t="s">
        <v>1967</v>
      </c>
      <c r="K4" s="30" t="s">
        <v>621</v>
      </c>
      <c r="L4" s="30" t="s">
        <v>706</v>
      </c>
      <c r="M4" s="30" t="s">
        <v>329</v>
      </c>
      <c r="N4" s="30" t="s">
        <v>764</v>
      </c>
      <c r="O4" s="30" t="s">
        <v>2265</v>
      </c>
      <c r="P4" s="30" t="s">
        <v>1258</v>
      </c>
      <c r="Q4" s="30" t="s">
        <v>3171</v>
      </c>
      <c r="R4" s="30" t="s">
        <v>2638</v>
      </c>
      <c r="S4" s="30" t="s">
        <v>540</v>
      </c>
      <c r="T4" s="30" t="s">
        <v>604</v>
      </c>
      <c r="U4" s="30" t="s">
        <v>1226</v>
      </c>
      <c r="V4" s="30" t="s">
        <v>389</v>
      </c>
      <c r="W4" s="30" t="s">
        <v>3607</v>
      </c>
      <c r="X4" s="30" t="s">
        <v>873</v>
      </c>
      <c r="Y4" s="30" t="s">
        <v>3882</v>
      </c>
      <c r="Z4" s="30" t="s">
        <v>3226</v>
      </c>
      <c r="AA4" s="30" t="s">
        <v>472</v>
      </c>
      <c r="AB4" s="30" t="s">
        <v>468</v>
      </c>
      <c r="AC4" s="30" t="s">
        <v>1150</v>
      </c>
      <c r="AD4" s="30" t="s">
        <v>663</v>
      </c>
      <c r="AE4" s="30" t="s">
        <v>2816</v>
      </c>
      <c r="AF4" s="30" t="s">
        <v>2818</v>
      </c>
      <c r="AG4" s="30" t="s">
        <v>2855</v>
      </c>
      <c r="AH4" s="30" t="s">
        <v>2406</v>
      </c>
      <c r="AI4" s="30" t="s">
        <v>3036</v>
      </c>
      <c r="AJ4" s="30" t="s">
        <v>3245</v>
      </c>
      <c r="AK4" s="30" t="s">
        <v>3183</v>
      </c>
      <c r="AL4" s="30" t="s">
        <v>3879</v>
      </c>
      <c r="AM4" s="30" t="s">
        <v>3871</v>
      </c>
      <c r="AN4" s="30" t="s">
        <v>1603</v>
      </c>
      <c r="AO4" s="30" t="s">
        <v>1599</v>
      </c>
      <c r="AP4" s="30" t="s">
        <v>2845</v>
      </c>
      <c r="AQ4" s="30" t="s">
        <v>2849</v>
      </c>
      <c r="AR4" s="30" t="s">
        <v>3868</v>
      </c>
      <c r="AS4" s="30" t="s">
        <v>1855</v>
      </c>
      <c r="AT4" s="30" t="s">
        <v>1852</v>
      </c>
      <c r="AU4" s="30" t="s">
        <v>2897</v>
      </c>
      <c r="AV4" s="30" t="s">
        <v>2840</v>
      </c>
      <c r="AW4" s="30" t="s">
        <v>2532</v>
      </c>
      <c r="AX4" s="30" t="s">
        <v>3867</v>
      </c>
      <c r="AY4" s="30" t="s">
        <v>1853</v>
      </c>
      <c r="AZ4" s="30" t="s">
        <v>1792</v>
      </c>
      <c r="BA4" s="30" t="s">
        <v>2549</v>
      </c>
      <c r="BB4" s="30" t="s">
        <v>3592</v>
      </c>
      <c r="BC4" s="30" t="s">
        <v>3516</v>
      </c>
      <c r="BD4" s="30" t="s">
        <v>292</v>
      </c>
      <c r="BE4" s="30" t="s">
        <v>417</v>
      </c>
      <c r="BF4" s="30" t="s">
        <v>2140</v>
      </c>
      <c r="BG4" s="30" t="s">
        <v>796</v>
      </c>
      <c r="BH4" s="30" t="s">
        <v>469</v>
      </c>
      <c r="BI4" s="30" t="s">
        <v>488</v>
      </c>
      <c r="BJ4" s="30" t="s">
        <v>1246</v>
      </c>
      <c r="BK4" s="30" t="s">
        <v>1306</v>
      </c>
      <c r="BL4" s="30" t="s">
        <v>1295</v>
      </c>
      <c r="BM4" s="30" t="s">
        <v>2390</v>
      </c>
      <c r="BN4" s="30" t="s">
        <v>1816</v>
      </c>
      <c r="BO4" s="30" t="s">
        <v>430</v>
      </c>
      <c r="BP4" s="30" t="s">
        <v>2342</v>
      </c>
      <c r="BQ4" s="30" t="s">
        <v>2478</v>
      </c>
      <c r="BR4" s="30" t="s">
        <v>2258</v>
      </c>
      <c r="BS4" s="30" t="s">
        <v>3138</v>
      </c>
      <c r="BT4" s="30" t="s">
        <v>2655</v>
      </c>
      <c r="BU4" s="30" t="s">
        <v>2333</v>
      </c>
      <c r="BV4" s="30" t="s">
        <v>3063</v>
      </c>
      <c r="BW4" s="30" t="s">
        <v>3369</v>
      </c>
      <c r="BX4" s="30" t="s">
        <v>3377</v>
      </c>
      <c r="BY4" s="30" t="s">
        <v>3873</v>
      </c>
      <c r="BZ4" s="30" t="s">
        <v>2468</v>
      </c>
      <c r="CA4" s="30" t="s">
        <v>3874</v>
      </c>
      <c r="CB4" s="30" t="s">
        <v>1934</v>
      </c>
      <c r="CC4" s="30" t="s">
        <v>3876</v>
      </c>
      <c r="CD4" s="30" t="s">
        <v>1900</v>
      </c>
      <c r="CE4" s="30" t="s">
        <v>3875</v>
      </c>
      <c r="CF4" s="30" t="s">
        <v>2331</v>
      </c>
      <c r="CG4" s="30" t="s">
        <v>2396</v>
      </c>
      <c r="CH4" s="30" t="s">
        <v>3877</v>
      </c>
      <c r="CI4" s="30" t="s">
        <v>2325</v>
      </c>
      <c r="CJ4" s="30" t="s">
        <v>2467</v>
      </c>
      <c r="CK4" s="30" t="s">
        <v>2239</v>
      </c>
      <c r="CL4" s="30" t="s">
        <v>2124</v>
      </c>
      <c r="CM4" s="30" t="s">
        <v>3149</v>
      </c>
      <c r="CN4" s="30" t="s">
        <v>328</v>
      </c>
      <c r="CO4" s="30" t="s">
        <v>1545</v>
      </c>
      <c r="CP4" s="30" t="s">
        <v>3878</v>
      </c>
      <c r="CQ4" s="30" t="s">
        <v>3145</v>
      </c>
      <c r="CR4" s="30" t="s">
        <v>2322</v>
      </c>
      <c r="CS4" s="30" t="s">
        <v>2473</v>
      </c>
      <c r="CT4" s="30" t="s">
        <v>3187</v>
      </c>
      <c r="CU4" s="30" t="s">
        <v>253</v>
      </c>
      <c r="CV4" s="30" t="s">
        <v>2666</v>
      </c>
      <c r="CW4" s="30" t="s">
        <v>2221</v>
      </c>
      <c r="CX4" s="30" t="s">
        <v>679</v>
      </c>
      <c r="CY4" s="30" t="s">
        <v>227</v>
      </c>
      <c r="CZ4" s="30" t="s">
        <v>632</v>
      </c>
      <c r="DA4" s="30" t="s">
        <v>3883</v>
      </c>
      <c r="DB4" s="30" t="s">
        <v>1735</v>
      </c>
      <c r="DC4" s="30" t="s">
        <v>3880</v>
      </c>
      <c r="DD4" s="30" t="s">
        <v>2168</v>
      </c>
      <c r="DE4" s="30" t="s">
        <v>1468</v>
      </c>
      <c r="DF4" s="30" t="s">
        <v>645</v>
      </c>
      <c r="DG4" s="30" t="s">
        <v>3390</v>
      </c>
      <c r="DH4" s="30" t="s">
        <v>3676</v>
      </c>
      <c r="DI4" s="30" t="s">
        <v>1683</v>
      </c>
      <c r="DJ4" s="30" t="s">
        <v>3269</v>
      </c>
      <c r="DK4" s="30" t="s">
        <v>833</v>
      </c>
      <c r="DL4" s="30" t="s">
        <v>206</v>
      </c>
      <c r="DM4" s="30" t="s">
        <v>1844</v>
      </c>
      <c r="DN4" s="30" t="s">
        <v>1092</v>
      </c>
      <c r="DO4" s="30" t="s">
        <v>398</v>
      </c>
      <c r="DP4" s="30" t="s">
        <v>3884</v>
      </c>
      <c r="DQ4" s="30" t="s">
        <v>3885</v>
      </c>
      <c r="DR4" s="30" t="s">
        <v>3073</v>
      </c>
      <c r="DS4" s="30" t="s">
        <v>1382</v>
      </c>
      <c r="DT4" s="30" t="s">
        <v>3618</v>
      </c>
      <c r="DU4" s="30" t="s">
        <v>3886</v>
      </c>
      <c r="DV4" s="30" t="s">
        <v>2091</v>
      </c>
      <c r="DW4" s="30" t="s">
        <v>3295</v>
      </c>
      <c r="DX4" s="30" t="s">
        <v>1153</v>
      </c>
      <c r="DY4" s="30" t="s">
        <v>967</v>
      </c>
      <c r="DZ4" s="30" t="s">
        <v>714</v>
      </c>
      <c r="EA4" s="30" t="s">
        <v>725</v>
      </c>
      <c r="EB4" s="30" t="s">
        <v>1160</v>
      </c>
      <c r="EC4" s="30" t="s">
        <v>721</v>
      </c>
      <c r="ED4" s="30" t="s">
        <v>3872</v>
      </c>
      <c r="EE4" s="30" t="s">
        <v>3887</v>
      </c>
      <c r="EF4" s="30" t="s">
        <v>3869</v>
      </c>
      <c r="EG4" s="30" t="s">
        <v>2279</v>
      </c>
      <c r="EH4" s="30" t="s">
        <v>717</v>
      </c>
      <c r="EI4" s="30" t="s">
        <v>1575</v>
      </c>
      <c r="EJ4" s="30" t="s">
        <v>3881</v>
      </c>
      <c r="EK4" s="30" t="s">
        <v>1500</v>
      </c>
      <c r="EL4" s="30" t="s">
        <v>1635</v>
      </c>
      <c r="EM4" s="30" t="s">
        <v>3863</v>
      </c>
      <c r="EN4" s="30" t="s">
        <v>3864</v>
      </c>
    </row>
    <row r="5" spans="1:144" x14ac:dyDescent="0.25">
      <c r="A5" s="31" t="s">
        <v>1694</v>
      </c>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v>1</v>
      </c>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v>1</v>
      </c>
    </row>
    <row r="6" spans="1:144" x14ac:dyDescent="0.25">
      <c r="A6" s="31" t="s">
        <v>170</v>
      </c>
      <c r="B6" s="32"/>
      <c r="C6" s="32"/>
      <c r="D6" s="32"/>
      <c r="E6" s="32"/>
      <c r="F6" s="32"/>
      <c r="G6" s="32"/>
      <c r="H6" s="32"/>
      <c r="I6" s="32"/>
      <c r="J6" s="32"/>
      <c r="K6" s="32"/>
      <c r="L6" s="32"/>
      <c r="M6" s="32"/>
      <c r="N6" s="32"/>
      <c r="O6" s="32"/>
      <c r="P6" s="32"/>
      <c r="Q6" s="32"/>
      <c r="R6" s="32"/>
      <c r="S6" s="32">
        <v>4</v>
      </c>
      <c r="T6" s="32"/>
      <c r="U6" s="32"/>
      <c r="V6" s="32">
        <v>1</v>
      </c>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v>5</v>
      </c>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v>5</v>
      </c>
      <c r="DG6" s="32"/>
      <c r="DH6" s="32"/>
      <c r="DI6" s="32">
        <v>4</v>
      </c>
      <c r="DJ6" s="32"/>
      <c r="DK6" s="32">
        <v>2</v>
      </c>
      <c r="DL6" s="32"/>
      <c r="DM6" s="32"/>
      <c r="DN6" s="32"/>
      <c r="DO6" s="32">
        <v>3</v>
      </c>
      <c r="DP6" s="32"/>
      <c r="DQ6" s="32"/>
      <c r="DR6" s="32"/>
      <c r="DS6" s="32"/>
      <c r="DT6" s="32"/>
      <c r="DU6" s="32"/>
      <c r="DV6" s="32"/>
      <c r="DW6" s="32"/>
      <c r="DX6" s="32"/>
      <c r="DY6" s="32"/>
      <c r="DZ6" s="32"/>
      <c r="EA6" s="32">
        <v>2</v>
      </c>
      <c r="EB6" s="32"/>
      <c r="EC6" s="32"/>
      <c r="ED6" s="32"/>
      <c r="EE6" s="32"/>
      <c r="EF6" s="32"/>
      <c r="EG6" s="32"/>
      <c r="EH6" s="32"/>
      <c r="EI6" s="32"/>
      <c r="EJ6" s="32"/>
      <c r="EK6" s="32"/>
      <c r="EL6" s="32">
        <v>2</v>
      </c>
      <c r="EM6" s="32"/>
      <c r="EN6" s="32">
        <v>28</v>
      </c>
    </row>
    <row r="7" spans="1:144" x14ac:dyDescent="0.25">
      <c r="A7" s="31" t="s">
        <v>1565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v>1</v>
      </c>
      <c r="DP7" s="32"/>
      <c r="DQ7" s="32"/>
      <c r="DR7" s="32"/>
      <c r="DS7" s="32"/>
      <c r="DT7" s="32"/>
      <c r="DU7" s="32"/>
      <c r="DV7" s="32"/>
      <c r="DW7" s="32"/>
      <c r="DX7" s="32"/>
      <c r="DY7" s="32"/>
      <c r="DZ7" s="32"/>
      <c r="EA7" s="32"/>
      <c r="EB7" s="32"/>
      <c r="EC7" s="32"/>
      <c r="ED7" s="32"/>
      <c r="EE7" s="32"/>
      <c r="EF7" s="32"/>
      <c r="EG7" s="32"/>
      <c r="EH7" s="32"/>
      <c r="EI7" s="32"/>
      <c r="EJ7" s="32"/>
      <c r="EK7" s="32"/>
      <c r="EL7" s="32"/>
      <c r="EM7" s="32"/>
      <c r="EN7" s="32">
        <v>1</v>
      </c>
    </row>
    <row r="8" spans="1:144" x14ac:dyDescent="0.25">
      <c r="A8" s="31" t="s">
        <v>3905</v>
      </c>
      <c r="B8" s="32"/>
      <c r="C8" s="32"/>
      <c r="D8" s="32"/>
      <c r="E8" s="32"/>
      <c r="F8" s="32"/>
      <c r="G8" s="32"/>
      <c r="H8" s="32"/>
      <c r="I8" s="32"/>
      <c r="J8" s="32"/>
      <c r="K8" s="32">
        <v>1</v>
      </c>
      <c r="L8" s="32"/>
      <c r="M8" s="32"/>
      <c r="N8" s="32"/>
      <c r="O8" s="32"/>
      <c r="P8" s="32"/>
      <c r="Q8" s="32"/>
      <c r="R8" s="32"/>
      <c r="S8" s="32">
        <v>1</v>
      </c>
      <c r="T8" s="32"/>
      <c r="U8" s="32"/>
      <c r="V8" s="32"/>
      <c r="W8" s="32"/>
      <c r="X8" s="32"/>
      <c r="Y8" s="32"/>
      <c r="Z8" s="32"/>
      <c r="AA8" s="32"/>
      <c r="AB8" s="32"/>
      <c r="AC8" s="32"/>
      <c r="AD8" s="32"/>
      <c r="AE8" s="32"/>
      <c r="AF8" s="32"/>
      <c r="AG8" s="32"/>
      <c r="AH8" s="32"/>
      <c r="AI8" s="32"/>
      <c r="AJ8" s="32"/>
      <c r="AK8" s="32"/>
      <c r="AL8" s="32"/>
      <c r="AM8" s="32"/>
      <c r="AN8" s="32">
        <v>1</v>
      </c>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v>1</v>
      </c>
      <c r="DL8" s="32"/>
      <c r="DM8" s="32"/>
      <c r="DN8" s="32"/>
      <c r="DO8" s="32">
        <v>1</v>
      </c>
      <c r="DP8" s="32"/>
      <c r="DQ8" s="32"/>
      <c r="DR8" s="32"/>
      <c r="DS8" s="32"/>
      <c r="DT8" s="32"/>
      <c r="DU8" s="32"/>
      <c r="DV8" s="32"/>
      <c r="DW8" s="32">
        <v>1</v>
      </c>
      <c r="DX8" s="32"/>
      <c r="DY8" s="32"/>
      <c r="DZ8" s="32"/>
      <c r="EA8" s="32"/>
      <c r="EB8" s="32"/>
      <c r="EC8" s="32"/>
      <c r="ED8" s="32"/>
      <c r="EE8" s="32"/>
      <c r="EF8" s="32"/>
      <c r="EG8" s="32"/>
      <c r="EH8" s="32"/>
      <c r="EI8" s="32"/>
      <c r="EJ8" s="32"/>
      <c r="EK8" s="32"/>
      <c r="EL8" s="32"/>
      <c r="EM8" s="32"/>
      <c r="EN8" s="32">
        <v>6</v>
      </c>
    </row>
    <row r="9" spans="1:144" x14ac:dyDescent="0.25">
      <c r="A9" s="31" t="s">
        <v>197</v>
      </c>
      <c r="B9" s="32"/>
      <c r="C9" s="32"/>
      <c r="D9" s="32"/>
      <c r="E9" s="32"/>
      <c r="F9" s="32"/>
      <c r="G9" s="32">
        <v>1</v>
      </c>
      <c r="H9" s="32"/>
      <c r="I9" s="32"/>
      <c r="J9" s="32"/>
      <c r="K9" s="32"/>
      <c r="L9" s="32">
        <v>1</v>
      </c>
      <c r="M9" s="32"/>
      <c r="N9" s="32"/>
      <c r="O9" s="32"/>
      <c r="P9" s="32">
        <v>1</v>
      </c>
      <c r="Q9" s="32"/>
      <c r="R9" s="32"/>
      <c r="S9" s="32">
        <v>1</v>
      </c>
      <c r="T9" s="32"/>
      <c r="U9" s="32">
        <v>1</v>
      </c>
      <c r="V9" s="32">
        <v>7</v>
      </c>
      <c r="W9" s="32"/>
      <c r="X9" s="32"/>
      <c r="Y9" s="32"/>
      <c r="Z9" s="32"/>
      <c r="AA9" s="32"/>
      <c r="AB9" s="32">
        <v>2</v>
      </c>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v>2</v>
      </c>
      <c r="BJ9" s="32">
        <v>1</v>
      </c>
      <c r="BK9" s="32">
        <v>1</v>
      </c>
      <c r="BL9" s="32">
        <v>1</v>
      </c>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v>2</v>
      </c>
      <c r="CY9" s="32">
        <v>1</v>
      </c>
      <c r="CZ9" s="32"/>
      <c r="DA9" s="32"/>
      <c r="DB9" s="32"/>
      <c r="DC9" s="32"/>
      <c r="DD9" s="32"/>
      <c r="DE9" s="32"/>
      <c r="DF9" s="32">
        <v>1</v>
      </c>
      <c r="DG9" s="32"/>
      <c r="DH9" s="32"/>
      <c r="DI9" s="32"/>
      <c r="DJ9" s="32">
        <v>1</v>
      </c>
      <c r="DK9" s="32">
        <v>3</v>
      </c>
      <c r="DL9" s="32"/>
      <c r="DM9" s="32"/>
      <c r="DN9" s="32"/>
      <c r="DO9" s="32">
        <v>3</v>
      </c>
      <c r="DP9" s="32"/>
      <c r="DQ9" s="32"/>
      <c r="DR9" s="32"/>
      <c r="DS9" s="32"/>
      <c r="DT9" s="32"/>
      <c r="DU9" s="32"/>
      <c r="DV9" s="32"/>
      <c r="DW9" s="32"/>
      <c r="DX9" s="32"/>
      <c r="DY9" s="32"/>
      <c r="DZ9" s="32"/>
      <c r="EA9" s="32">
        <v>1</v>
      </c>
      <c r="EB9" s="32"/>
      <c r="EC9" s="32"/>
      <c r="ED9" s="32"/>
      <c r="EE9" s="32"/>
      <c r="EF9" s="32"/>
      <c r="EG9" s="32"/>
      <c r="EH9" s="32"/>
      <c r="EI9" s="32"/>
      <c r="EJ9" s="32"/>
      <c r="EK9" s="32"/>
      <c r="EL9" s="32"/>
      <c r="EM9" s="32"/>
      <c r="EN9" s="32">
        <v>31</v>
      </c>
    </row>
    <row r="10" spans="1:144" x14ac:dyDescent="0.25">
      <c r="A10" s="31" t="s">
        <v>139</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v>1</v>
      </c>
      <c r="AF10" s="32">
        <v>1</v>
      </c>
      <c r="AG10" s="32"/>
      <c r="AH10" s="32">
        <v>1</v>
      </c>
      <c r="AI10" s="32"/>
      <c r="AJ10" s="32"/>
      <c r="AK10" s="32"/>
      <c r="AL10" s="32"/>
      <c r="AM10" s="32"/>
      <c r="AN10" s="32"/>
      <c r="AO10" s="32"/>
      <c r="AP10" s="32"/>
      <c r="AQ10" s="32"/>
      <c r="AR10" s="32"/>
      <c r="AS10" s="32"/>
      <c r="AT10" s="32"/>
      <c r="AU10" s="32"/>
      <c r="AV10" s="32"/>
      <c r="AW10" s="32"/>
      <c r="AX10" s="32"/>
      <c r="AY10" s="32"/>
      <c r="AZ10" s="32"/>
      <c r="BA10" s="32"/>
      <c r="BB10" s="32"/>
      <c r="BC10" s="32"/>
      <c r="BD10" s="32">
        <v>2</v>
      </c>
      <c r="BE10" s="32">
        <v>1</v>
      </c>
      <c r="BF10" s="32"/>
      <c r="BG10" s="32"/>
      <c r="BH10" s="32">
        <v>1</v>
      </c>
      <c r="BI10" s="32"/>
      <c r="BJ10" s="32"/>
      <c r="BK10" s="32"/>
      <c r="BL10" s="32"/>
      <c r="BM10" s="32"/>
      <c r="BN10" s="32"/>
      <c r="BO10" s="32"/>
      <c r="BP10" s="32"/>
      <c r="BQ10" s="32"/>
      <c r="BR10" s="32"/>
      <c r="BS10" s="32">
        <v>1</v>
      </c>
      <c r="BT10" s="32"/>
      <c r="BU10" s="32"/>
      <c r="BV10" s="32"/>
      <c r="BW10" s="32"/>
      <c r="BX10" s="32"/>
      <c r="BY10" s="32"/>
      <c r="BZ10" s="32">
        <v>1</v>
      </c>
      <c r="CA10" s="32"/>
      <c r="CB10" s="32"/>
      <c r="CC10" s="32"/>
      <c r="CD10" s="32"/>
      <c r="CE10" s="32"/>
      <c r="CF10" s="32"/>
      <c r="CG10" s="32"/>
      <c r="CH10" s="32"/>
      <c r="CI10" s="32"/>
      <c r="CJ10" s="32"/>
      <c r="CK10" s="32"/>
      <c r="CL10" s="32"/>
      <c r="CM10" s="32">
        <v>1</v>
      </c>
      <c r="CN10" s="32"/>
      <c r="CO10" s="32"/>
      <c r="CP10" s="32"/>
      <c r="CQ10" s="32">
        <v>1</v>
      </c>
      <c r="CR10" s="32"/>
      <c r="CS10" s="32"/>
      <c r="CT10" s="32"/>
      <c r="CU10" s="32"/>
      <c r="CV10" s="32"/>
      <c r="CW10" s="32"/>
      <c r="CX10" s="32">
        <v>1</v>
      </c>
      <c r="CY10" s="32"/>
      <c r="CZ10" s="32"/>
      <c r="DA10" s="32"/>
      <c r="DB10" s="32"/>
      <c r="DC10" s="32"/>
      <c r="DD10" s="32"/>
      <c r="DE10" s="32"/>
      <c r="DF10" s="32">
        <v>5</v>
      </c>
      <c r="DG10" s="32"/>
      <c r="DH10" s="32"/>
      <c r="DI10" s="32">
        <v>2</v>
      </c>
      <c r="DJ10" s="32">
        <v>1</v>
      </c>
      <c r="DK10" s="32"/>
      <c r="DL10" s="32">
        <v>1</v>
      </c>
      <c r="DM10" s="32"/>
      <c r="DN10" s="32"/>
      <c r="DO10" s="32">
        <v>3</v>
      </c>
      <c r="DP10" s="32"/>
      <c r="DQ10" s="32"/>
      <c r="DR10" s="32"/>
      <c r="DS10" s="32"/>
      <c r="DT10" s="32"/>
      <c r="DU10" s="32"/>
      <c r="DV10" s="32"/>
      <c r="DW10" s="32"/>
      <c r="DX10" s="32"/>
      <c r="DY10" s="32"/>
      <c r="DZ10" s="32"/>
      <c r="EA10" s="32">
        <v>5</v>
      </c>
      <c r="EB10" s="32"/>
      <c r="EC10" s="32"/>
      <c r="ED10" s="32"/>
      <c r="EE10" s="32"/>
      <c r="EF10" s="32"/>
      <c r="EG10" s="32"/>
      <c r="EH10" s="32"/>
      <c r="EI10" s="32"/>
      <c r="EJ10" s="32"/>
      <c r="EK10" s="32"/>
      <c r="EL10" s="32"/>
      <c r="EM10" s="32"/>
      <c r="EN10" s="32">
        <v>29</v>
      </c>
    </row>
    <row r="11" spans="1:144" x14ac:dyDescent="0.25">
      <c r="A11" s="31" t="s">
        <v>3267</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v>1</v>
      </c>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v>1</v>
      </c>
      <c r="DG11" s="32"/>
      <c r="DH11" s="32"/>
      <c r="DI11" s="32"/>
      <c r="DJ11" s="32">
        <v>1</v>
      </c>
      <c r="DK11" s="32"/>
      <c r="DL11" s="32"/>
      <c r="DM11" s="32"/>
      <c r="DN11" s="32"/>
      <c r="DO11" s="32">
        <v>2</v>
      </c>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v>5</v>
      </c>
    </row>
    <row r="12" spans="1:144" x14ac:dyDescent="0.25">
      <c r="A12" s="31" t="s">
        <v>1462</v>
      </c>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v>1</v>
      </c>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v>1</v>
      </c>
    </row>
    <row r="13" spans="1:144" x14ac:dyDescent="0.25">
      <c r="A13" s="31" t="s">
        <v>776</v>
      </c>
      <c r="B13" s="32"/>
      <c r="C13" s="32"/>
      <c r="D13" s="32"/>
      <c r="E13" s="32"/>
      <c r="F13" s="32"/>
      <c r="G13" s="32"/>
      <c r="H13" s="32"/>
      <c r="I13" s="32"/>
      <c r="J13" s="32"/>
      <c r="K13" s="32"/>
      <c r="L13" s="32"/>
      <c r="M13" s="32">
        <v>1</v>
      </c>
      <c r="N13" s="32"/>
      <c r="O13" s="32"/>
      <c r="P13" s="32"/>
      <c r="Q13" s="32"/>
      <c r="R13" s="32"/>
      <c r="S13" s="32"/>
      <c r="T13" s="32"/>
      <c r="U13" s="32"/>
      <c r="V13" s="32">
        <v>2</v>
      </c>
      <c r="W13" s="32"/>
      <c r="X13" s="32">
        <v>1</v>
      </c>
      <c r="Y13" s="32"/>
      <c r="Z13" s="32"/>
      <c r="AA13" s="32"/>
      <c r="AB13" s="32"/>
      <c r="AC13" s="32"/>
      <c r="AD13" s="32"/>
      <c r="AE13" s="32"/>
      <c r="AF13" s="32"/>
      <c r="AG13" s="32"/>
      <c r="AH13" s="32"/>
      <c r="AI13" s="32"/>
      <c r="AJ13" s="32"/>
      <c r="AK13" s="32"/>
      <c r="AL13" s="32"/>
      <c r="AM13" s="32"/>
      <c r="AN13" s="32">
        <v>1</v>
      </c>
      <c r="AO13" s="32"/>
      <c r="AP13" s="32"/>
      <c r="AQ13" s="32"/>
      <c r="AR13" s="32"/>
      <c r="AS13" s="32"/>
      <c r="AT13" s="32"/>
      <c r="AU13" s="32"/>
      <c r="AV13" s="32"/>
      <c r="AW13" s="32"/>
      <c r="AX13" s="32"/>
      <c r="AY13" s="32"/>
      <c r="AZ13" s="32"/>
      <c r="BA13" s="32"/>
      <c r="BB13" s="32"/>
      <c r="BC13" s="32"/>
      <c r="BD13" s="32"/>
      <c r="BE13" s="32"/>
      <c r="BF13" s="32"/>
      <c r="BG13" s="32"/>
      <c r="BH13" s="32"/>
      <c r="BI13" s="32">
        <v>2</v>
      </c>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v>10</v>
      </c>
      <c r="CY13" s="32">
        <v>1</v>
      </c>
      <c r="CZ13" s="32"/>
      <c r="DA13" s="32"/>
      <c r="DB13" s="32"/>
      <c r="DC13" s="32"/>
      <c r="DD13" s="32"/>
      <c r="DE13" s="32"/>
      <c r="DF13" s="32">
        <v>10</v>
      </c>
      <c r="DG13" s="32"/>
      <c r="DH13" s="32"/>
      <c r="DI13" s="32">
        <v>3</v>
      </c>
      <c r="DJ13" s="32"/>
      <c r="DK13" s="32"/>
      <c r="DL13" s="32">
        <v>1</v>
      </c>
      <c r="DM13" s="32"/>
      <c r="DN13" s="32">
        <v>1</v>
      </c>
      <c r="DO13" s="32">
        <v>27</v>
      </c>
      <c r="DP13" s="32"/>
      <c r="DQ13" s="32"/>
      <c r="DR13" s="32"/>
      <c r="DS13" s="32"/>
      <c r="DT13" s="32"/>
      <c r="DU13" s="32"/>
      <c r="DV13" s="32"/>
      <c r="DW13" s="32"/>
      <c r="DX13" s="32"/>
      <c r="DY13" s="32">
        <v>1</v>
      </c>
      <c r="DZ13" s="32"/>
      <c r="EA13" s="32"/>
      <c r="EB13" s="32"/>
      <c r="EC13" s="32"/>
      <c r="ED13" s="32"/>
      <c r="EE13" s="32"/>
      <c r="EF13" s="32"/>
      <c r="EG13" s="32"/>
      <c r="EH13" s="32"/>
      <c r="EI13" s="32"/>
      <c r="EJ13" s="32"/>
      <c r="EK13" s="32"/>
      <c r="EL13" s="32"/>
      <c r="EM13" s="32"/>
      <c r="EN13" s="32">
        <v>61</v>
      </c>
    </row>
    <row r="14" spans="1:144" x14ac:dyDescent="0.25">
      <c r="A14" s="31" t="s">
        <v>124</v>
      </c>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v>1</v>
      </c>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v>1</v>
      </c>
    </row>
    <row r="15" spans="1:144" x14ac:dyDescent="0.25">
      <c r="A15" s="31" t="s">
        <v>1520</v>
      </c>
      <c r="B15" s="32"/>
      <c r="C15" s="32"/>
      <c r="D15" s="32"/>
      <c r="E15" s="32"/>
      <c r="F15" s="32"/>
      <c r="G15" s="32"/>
      <c r="H15" s="32"/>
      <c r="I15" s="32"/>
      <c r="J15" s="32"/>
      <c r="K15" s="32"/>
      <c r="L15" s="32"/>
      <c r="M15" s="32"/>
      <c r="N15" s="32"/>
      <c r="O15" s="32"/>
      <c r="P15" s="32"/>
      <c r="Q15" s="32"/>
      <c r="R15" s="32"/>
      <c r="S15" s="32">
        <v>2</v>
      </c>
      <c r="T15" s="32"/>
      <c r="U15" s="32"/>
      <c r="V15" s="32">
        <v>1</v>
      </c>
      <c r="W15" s="32"/>
      <c r="X15" s="32"/>
      <c r="Y15" s="32"/>
      <c r="Z15" s="32"/>
      <c r="AA15" s="32">
        <v>1</v>
      </c>
      <c r="AB15" s="32"/>
      <c r="AC15" s="32"/>
      <c r="AD15" s="32"/>
      <c r="AE15" s="32"/>
      <c r="AF15" s="32"/>
      <c r="AG15" s="32"/>
      <c r="AH15" s="32"/>
      <c r="AI15" s="32">
        <v>1</v>
      </c>
      <c r="AJ15" s="32"/>
      <c r="AK15" s="32"/>
      <c r="AL15" s="32"/>
      <c r="AM15" s="32"/>
      <c r="AN15" s="32"/>
      <c r="AO15" s="32"/>
      <c r="AP15" s="32"/>
      <c r="AQ15" s="32"/>
      <c r="AR15" s="32"/>
      <c r="AS15" s="32"/>
      <c r="AT15" s="32"/>
      <c r="AU15" s="32"/>
      <c r="AV15" s="32"/>
      <c r="AW15" s="32"/>
      <c r="AX15" s="32"/>
      <c r="AY15" s="32"/>
      <c r="AZ15" s="32"/>
      <c r="BA15" s="32"/>
      <c r="BB15" s="32"/>
      <c r="BC15" s="32"/>
      <c r="BD15" s="32"/>
      <c r="BE15" s="32">
        <v>3</v>
      </c>
      <c r="BF15" s="32"/>
      <c r="BG15" s="32"/>
      <c r="BH15" s="32"/>
      <c r="BI15" s="32">
        <v>3</v>
      </c>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v>1</v>
      </c>
      <c r="CP15" s="32"/>
      <c r="CQ15" s="32"/>
      <c r="CR15" s="32"/>
      <c r="CS15" s="32"/>
      <c r="CT15" s="32"/>
      <c r="CU15" s="32"/>
      <c r="CV15" s="32"/>
      <c r="CW15" s="32"/>
      <c r="CX15" s="32">
        <v>3</v>
      </c>
      <c r="CY15" s="32"/>
      <c r="CZ15" s="32"/>
      <c r="DA15" s="32"/>
      <c r="DB15" s="32"/>
      <c r="DC15" s="32"/>
      <c r="DD15" s="32"/>
      <c r="DE15" s="32"/>
      <c r="DF15" s="32">
        <v>33</v>
      </c>
      <c r="DG15" s="32"/>
      <c r="DH15" s="32"/>
      <c r="DI15" s="32"/>
      <c r="DJ15" s="32"/>
      <c r="DK15" s="32"/>
      <c r="DL15" s="32"/>
      <c r="DM15" s="32"/>
      <c r="DN15" s="32"/>
      <c r="DO15" s="32">
        <v>14</v>
      </c>
      <c r="DP15" s="32"/>
      <c r="DQ15" s="32"/>
      <c r="DR15" s="32"/>
      <c r="DS15" s="32"/>
      <c r="DT15" s="32"/>
      <c r="DU15" s="32"/>
      <c r="DV15" s="32"/>
      <c r="DW15" s="32"/>
      <c r="DX15" s="32"/>
      <c r="DY15" s="32"/>
      <c r="DZ15" s="32"/>
      <c r="EA15" s="32"/>
      <c r="EB15" s="32"/>
      <c r="EC15" s="32"/>
      <c r="ED15" s="32"/>
      <c r="EE15" s="32"/>
      <c r="EF15" s="32"/>
      <c r="EG15" s="32"/>
      <c r="EH15" s="32"/>
      <c r="EI15" s="32"/>
      <c r="EJ15" s="32"/>
      <c r="EK15" s="32">
        <v>4</v>
      </c>
      <c r="EL15" s="32"/>
      <c r="EM15" s="32"/>
      <c r="EN15" s="32">
        <v>66</v>
      </c>
    </row>
    <row r="16" spans="1:144" x14ac:dyDescent="0.25">
      <c r="A16" s="31" t="s">
        <v>1582</v>
      </c>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v>1</v>
      </c>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v>1</v>
      </c>
      <c r="DL16" s="32"/>
      <c r="DM16" s="32"/>
      <c r="DN16" s="32"/>
      <c r="DO16" s="32">
        <v>1</v>
      </c>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v>3</v>
      </c>
    </row>
    <row r="17" spans="1:144" x14ac:dyDescent="0.25">
      <c r="A17" s="31" t="s">
        <v>1762</v>
      </c>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v>2</v>
      </c>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v>2</v>
      </c>
    </row>
    <row r="18" spans="1:144" x14ac:dyDescent="0.25">
      <c r="A18" s="31" t="s">
        <v>1776</v>
      </c>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v>1</v>
      </c>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v>1</v>
      </c>
    </row>
    <row r="19" spans="1:144" x14ac:dyDescent="0.25">
      <c r="A19" s="31" t="s">
        <v>3899</v>
      </c>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v>1</v>
      </c>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v>1</v>
      </c>
    </row>
    <row r="20" spans="1:144" x14ac:dyDescent="0.25">
      <c r="A20" s="31" t="s">
        <v>2291</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v>1</v>
      </c>
      <c r="EF20" s="32"/>
      <c r="EG20" s="32"/>
      <c r="EH20" s="32"/>
      <c r="EI20" s="32"/>
      <c r="EJ20" s="32"/>
      <c r="EK20" s="32"/>
      <c r="EL20" s="32"/>
      <c r="EM20" s="32"/>
      <c r="EN20" s="32">
        <v>1</v>
      </c>
    </row>
    <row r="21" spans="1:144" x14ac:dyDescent="0.25">
      <c r="A21" s="31" t="s">
        <v>1467</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v>1</v>
      </c>
      <c r="DF21" s="32"/>
      <c r="DG21" s="32"/>
      <c r="DH21" s="32"/>
      <c r="DI21" s="32"/>
      <c r="DJ21" s="32"/>
      <c r="DK21" s="32"/>
      <c r="DL21" s="32"/>
      <c r="DM21" s="32"/>
      <c r="DN21" s="32"/>
      <c r="DO21" s="32">
        <v>1</v>
      </c>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v>2</v>
      </c>
    </row>
    <row r="22" spans="1:144" x14ac:dyDescent="0.25">
      <c r="A22" s="31" t="s">
        <v>1633</v>
      </c>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v>1</v>
      </c>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v>1</v>
      </c>
    </row>
    <row r="23" spans="1:144" x14ac:dyDescent="0.25">
      <c r="A23" s="31" t="s">
        <v>3525</v>
      </c>
      <c r="B23" s="32"/>
      <c r="C23" s="32"/>
      <c r="D23" s="32"/>
      <c r="E23" s="32"/>
      <c r="F23" s="32"/>
      <c r="G23" s="32"/>
      <c r="H23" s="32"/>
      <c r="I23" s="32"/>
      <c r="J23" s="32"/>
      <c r="K23" s="32"/>
      <c r="L23" s="32"/>
      <c r="M23" s="32"/>
      <c r="N23" s="32"/>
      <c r="O23" s="32"/>
      <c r="P23" s="32"/>
      <c r="Q23" s="32"/>
      <c r="R23" s="32"/>
      <c r="S23" s="32"/>
      <c r="T23" s="32"/>
      <c r="U23" s="32"/>
      <c r="V23" s="32">
        <v>1</v>
      </c>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v>1</v>
      </c>
    </row>
    <row r="24" spans="1:144" x14ac:dyDescent="0.25">
      <c r="A24" s="31" t="s">
        <v>1784</v>
      </c>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v>1</v>
      </c>
      <c r="EM24" s="32"/>
      <c r="EN24" s="32">
        <v>1</v>
      </c>
    </row>
    <row r="25" spans="1:144" x14ac:dyDescent="0.25">
      <c r="A25" s="31" t="s">
        <v>1755</v>
      </c>
      <c r="B25" s="32"/>
      <c r="C25" s="32"/>
      <c r="D25" s="32"/>
      <c r="E25" s="32"/>
      <c r="F25" s="32"/>
      <c r="G25" s="32"/>
      <c r="H25" s="32"/>
      <c r="I25" s="32"/>
      <c r="J25" s="32"/>
      <c r="K25" s="32"/>
      <c r="L25" s="32"/>
      <c r="M25" s="32"/>
      <c r="N25" s="32"/>
      <c r="O25" s="32"/>
      <c r="P25" s="32"/>
      <c r="Q25" s="32"/>
      <c r="R25" s="32"/>
      <c r="S25" s="32"/>
      <c r="T25" s="32"/>
      <c r="U25" s="32"/>
      <c r="V25" s="32">
        <v>3</v>
      </c>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v>3</v>
      </c>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v>6</v>
      </c>
    </row>
    <row r="26" spans="1:144" x14ac:dyDescent="0.25">
      <c r="A26" s="31" t="s">
        <v>2562</v>
      </c>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v>1</v>
      </c>
      <c r="DY26" s="32"/>
      <c r="DZ26" s="32"/>
      <c r="EA26" s="32"/>
      <c r="EB26" s="32"/>
      <c r="EC26" s="32"/>
      <c r="ED26" s="32"/>
      <c r="EE26" s="32"/>
      <c r="EF26" s="32"/>
      <c r="EG26" s="32"/>
      <c r="EH26" s="32"/>
      <c r="EI26" s="32"/>
      <c r="EJ26" s="32"/>
      <c r="EK26" s="32"/>
      <c r="EL26" s="32"/>
      <c r="EM26" s="32"/>
      <c r="EN26" s="32">
        <v>1</v>
      </c>
    </row>
    <row r="27" spans="1:144" x14ac:dyDescent="0.25">
      <c r="A27" s="31" t="s">
        <v>549</v>
      </c>
      <c r="B27" s="32"/>
      <c r="C27" s="32"/>
      <c r="D27" s="32"/>
      <c r="E27" s="32"/>
      <c r="F27" s="32"/>
      <c r="G27" s="32"/>
      <c r="H27" s="32"/>
      <c r="I27" s="32"/>
      <c r="J27" s="32"/>
      <c r="K27" s="32"/>
      <c r="L27" s="32"/>
      <c r="M27" s="32"/>
      <c r="N27" s="32"/>
      <c r="O27" s="32"/>
      <c r="P27" s="32"/>
      <c r="Q27" s="32"/>
      <c r="R27" s="32"/>
      <c r="S27" s="32">
        <v>1</v>
      </c>
      <c r="T27" s="32"/>
      <c r="U27" s="32"/>
      <c r="V27" s="32">
        <v>1</v>
      </c>
      <c r="W27" s="32"/>
      <c r="X27" s="32"/>
      <c r="Y27" s="32"/>
      <c r="Z27" s="32"/>
      <c r="AA27" s="32"/>
      <c r="AB27" s="32">
        <v>2</v>
      </c>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v>2</v>
      </c>
      <c r="DL27" s="32"/>
      <c r="DM27" s="32"/>
      <c r="DN27" s="32"/>
      <c r="DO27" s="32"/>
      <c r="DP27" s="32"/>
      <c r="DQ27" s="32"/>
      <c r="DR27" s="32"/>
      <c r="DS27" s="32"/>
      <c r="DT27" s="32"/>
      <c r="DU27" s="32"/>
      <c r="DV27" s="32"/>
      <c r="DW27" s="32"/>
      <c r="DX27" s="32"/>
      <c r="DY27" s="32"/>
      <c r="DZ27" s="32"/>
      <c r="EA27" s="32"/>
      <c r="EB27" s="32"/>
      <c r="EC27" s="32"/>
      <c r="ED27" s="32"/>
      <c r="EE27" s="32"/>
      <c r="EF27" s="32"/>
      <c r="EG27" s="32"/>
      <c r="EH27" s="32">
        <v>1</v>
      </c>
      <c r="EI27" s="32"/>
      <c r="EJ27" s="32"/>
      <c r="EK27" s="32"/>
      <c r="EL27" s="32"/>
      <c r="EM27" s="32"/>
      <c r="EN27" s="32">
        <v>7</v>
      </c>
    </row>
    <row r="28" spans="1:144" x14ac:dyDescent="0.25">
      <c r="A28" s="31" t="s">
        <v>191</v>
      </c>
      <c r="B28" s="32"/>
      <c r="C28" s="32"/>
      <c r="D28" s="32"/>
      <c r="E28" s="32"/>
      <c r="F28" s="32"/>
      <c r="G28" s="32"/>
      <c r="H28" s="32"/>
      <c r="I28" s="32"/>
      <c r="J28" s="32"/>
      <c r="K28" s="32"/>
      <c r="L28" s="32"/>
      <c r="M28" s="32"/>
      <c r="N28" s="32"/>
      <c r="O28" s="32"/>
      <c r="P28" s="32"/>
      <c r="Q28" s="32"/>
      <c r="R28" s="32"/>
      <c r="S28" s="32">
        <v>2</v>
      </c>
      <c r="T28" s="32"/>
      <c r="U28" s="32"/>
      <c r="V28" s="32">
        <v>1</v>
      </c>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v>3</v>
      </c>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v>6</v>
      </c>
    </row>
    <row r="29" spans="1:144" x14ac:dyDescent="0.25">
      <c r="A29" s="31" t="s">
        <v>1626</v>
      </c>
      <c r="B29" s="32"/>
      <c r="C29" s="32"/>
      <c r="D29" s="32"/>
      <c r="E29" s="32"/>
      <c r="F29" s="32"/>
      <c r="G29" s="32"/>
      <c r="H29" s="32"/>
      <c r="I29" s="32"/>
      <c r="J29" s="32"/>
      <c r="K29" s="32"/>
      <c r="L29" s="32"/>
      <c r="M29" s="32"/>
      <c r="N29" s="32"/>
      <c r="O29" s="32">
        <v>1</v>
      </c>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v>2</v>
      </c>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v>3</v>
      </c>
    </row>
    <row r="30" spans="1:144" x14ac:dyDescent="0.25">
      <c r="A30" s="31" t="s">
        <v>2504</v>
      </c>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v>2</v>
      </c>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v>1</v>
      </c>
      <c r="CY30" s="32"/>
      <c r="CZ30" s="32"/>
      <c r="DA30" s="32"/>
      <c r="DB30" s="32"/>
      <c r="DC30" s="32"/>
      <c r="DD30" s="32"/>
      <c r="DE30" s="32"/>
      <c r="DF30" s="32"/>
      <c r="DG30" s="32"/>
      <c r="DH30" s="32"/>
      <c r="DI30" s="32"/>
      <c r="DJ30" s="32"/>
      <c r="DK30" s="32"/>
      <c r="DL30" s="32"/>
      <c r="DM30" s="32"/>
      <c r="DN30" s="32"/>
      <c r="DO30" s="32">
        <v>2</v>
      </c>
      <c r="DP30" s="32"/>
      <c r="DQ30" s="32"/>
      <c r="DR30" s="32"/>
      <c r="DS30" s="32"/>
      <c r="DT30" s="32"/>
      <c r="DU30" s="32"/>
      <c r="DV30" s="32"/>
      <c r="DW30" s="32"/>
      <c r="DX30" s="32"/>
      <c r="DY30" s="32"/>
      <c r="DZ30" s="32"/>
      <c r="EA30" s="32">
        <v>1</v>
      </c>
      <c r="EB30" s="32"/>
      <c r="EC30" s="32"/>
      <c r="ED30" s="32"/>
      <c r="EE30" s="32"/>
      <c r="EF30" s="32"/>
      <c r="EG30" s="32"/>
      <c r="EH30" s="32"/>
      <c r="EI30" s="32"/>
      <c r="EJ30" s="32"/>
      <c r="EK30" s="32"/>
      <c r="EL30" s="32"/>
      <c r="EM30" s="32"/>
      <c r="EN30" s="32">
        <v>6</v>
      </c>
    </row>
    <row r="31" spans="1:144" x14ac:dyDescent="0.25">
      <c r="A31" s="31" t="s">
        <v>446</v>
      </c>
      <c r="B31" s="32"/>
      <c r="C31" s="32"/>
      <c r="D31" s="32"/>
      <c r="E31" s="32"/>
      <c r="F31" s="32"/>
      <c r="G31" s="32"/>
      <c r="H31" s="32"/>
      <c r="I31" s="32"/>
      <c r="J31" s="32"/>
      <c r="K31" s="32"/>
      <c r="L31" s="32"/>
      <c r="M31" s="32"/>
      <c r="N31" s="32"/>
      <c r="O31" s="32"/>
      <c r="P31" s="32"/>
      <c r="Q31" s="32"/>
      <c r="R31" s="32"/>
      <c r="S31" s="32">
        <v>1</v>
      </c>
      <c r="T31" s="32"/>
      <c r="U31" s="32"/>
      <c r="V31" s="32"/>
      <c r="W31" s="32"/>
      <c r="X31" s="32"/>
      <c r="Y31" s="32"/>
      <c r="Z31" s="32"/>
      <c r="AA31" s="32"/>
      <c r="AB31" s="32"/>
      <c r="AC31" s="32"/>
      <c r="AD31" s="32"/>
      <c r="AE31" s="32"/>
      <c r="AF31" s="32"/>
      <c r="AG31" s="32"/>
      <c r="AH31" s="32"/>
      <c r="AI31" s="32"/>
      <c r="AJ31" s="32"/>
      <c r="AK31" s="32"/>
      <c r="AL31" s="32"/>
      <c r="AM31" s="32">
        <v>1</v>
      </c>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v>1</v>
      </c>
      <c r="EA31" s="32"/>
      <c r="EB31" s="32"/>
      <c r="EC31" s="32"/>
      <c r="ED31" s="32"/>
      <c r="EE31" s="32"/>
      <c r="EF31" s="32"/>
      <c r="EG31" s="32"/>
      <c r="EH31" s="32"/>
      <c r="EI31" s="32"/>
      <c r="EJ31" s="32"/>
      <c r="EK31" s="32"/>
      <c r="EL31" s="32"/>
      <c r="EM31" s="32"/>
      <c r="EN31" s="32">
        <v>3</v>
      </c>
    </row>
    <row r="32" spans="1:144" x14ac:dyDescent="0.25">
      <c r="A32" s="31" t="s">
        <v>115</v>
      </c>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v>1</v>
      </c>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v>1</v>
      </c>
    </row>
    <row r="33" spans="1:144" x14ac:dyDescent="0.25">
      <c r="A33" s="31" t="s">
        <v>1455</v>
      </c>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v>1</v>
      </c>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v>1</v>
      </c>
    </row>
    <row r="34" spans="1:144" x14ac:dyDescent="0.25">
      <c r="A34" s="31" t="s">
        <v>2573</v>
      </c>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v>1</v>
      </c>
      <c r="DY34" s="32"/>
      <c r="DZ34" s="32"/>
      <c r="EA34" s="32"/>
      <c r="EB34" s="32"/>
      <c r="EC34" s="32"/>
      <c r="ED34" s="32"/>
      <c r="EE34" s="32"/>
      <c r="EF34" s="32"/>
      <c r="EG34" s="32"/>
      <c r="EH34" s="32"/>
      <c r="EI34" s="32"/>
      <c r="EJ34" s="32"/>
      <c r="EK34" s="32"/>
      <c r="EL34" s="32"/>
      <c r="EM34" s="32"/>
      <c r="EN34" s="32">
        <v>1</v>
      </c>
    </row>
    <row r="35" spans="1:144" x14ac:dyDescent="0.25">
      <c r="A35" s="31" t="s">
        <v>111</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v>1</v>
      </c>
      <c r="AB35" s="32">
        <v>1</v>
      </c>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v>1</v>
      </c>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v>1</v>
      </c>
      <c r="DM35" s="32"/>
      <c r="DN35" s="32"/>
      <c r="DO35" s="32"/>
      <c r="DP35" s="32"/>
      <c r="DQ35" s="32"/>
      <c r="DR35" s="32"/>
      <c r="DS35" s="32"/>
      <c r="DT35" s="32"/>
      <c r="DU35" s="32"/>
      <c r="DV35" s="32"/>
      <c r="DW35" s="32"/>
      <c r="DX35" s="32"/>
      <c r="DY35" s="32"/>
      <c r="DZ35" s="32"/>
      <c r="EA35" s="32">
        <v>1</v>
      </c>
      <c r="EB35" s="32"/>
      <c r="EC35" s="32"/>
      <c r="ED35" s="32"/>
      <c r="EE35" s="32"/>
      <c r="EF35" s="32"/>
      <c r="EG35" s="32"/>
      <c r="EH35" s="32"/>
      <c r="EI35" s="32"/>
      <c r="EJ35" s="32"/>
      <c r="EK35" s="32"/>
      <c r="EL35" s="32"/>
      <c r="EM35" s="32"/>
      <c r="EN35" s="32">
        <v>5</v>
      </c>
    </row>
    <row r="36" spans="1:144" x14ac:dyDescent="0.25">
      <c r="A36" s="31" t="s">
        <v>2183</v>
      </c>
      <c r="B36" s="32"/>
      <c r="C36" s="32"/>
      <c r="D36" s="32"/>
      <c r="E36" s="32"/>
      <c r="F36" s="32"/>
      <c r="G36" s="32"/>
      <c r="H36" s="32"/>
      <c r="I36" s="32"/>
      <c r="J36" s="32"/>
      <c r="K36" s="32">
        <v>1</v>
      </c>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v>1</v>
      </c>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v>1</v>
      </c>
      <c r="CY36" s="32"/>
      <c r="CZ36" s="32"/>
      <c r="DA36" s="32"/>
      <c r="DB36" s="32"/>
      <c r="DC36" s="32"/>
      <c r="DD36" s="32"/>
      <c r="DE36" s="32"/>
      <c r="DF36" s="32"/>
      <c r="DG36" s="32"/>
      <c r="DH36" s="32"/>
      <c r="DI36" s="32"/>
      <c r="DJ36" s="32"/>
      <c r="DK36" s="32"/>
      <c r="DL36" s="32"/>
      <c r="DM36" s="32"/>
      <c r="DN36" s="32"/>
      <c r="DO36" s="32">
        <v>2</v>
      </c>
      <c r="DP36" s="32"/>
      <c r="DQ36" s="32"/>
      <c r="DR36" s="32"/>
      <c r="DS36" s="32"/>
      <c r="DT36" s="32"/>
      <c r="DU36" s="32"/>
      <c r="DV36" s="32"/>
      <c r="DW36" s="32"/>
      <c r="DX36" s="32"/>
      <c r="DY36" s="32"/>
      <c r="DZ36" s="32"/>
      <c r="EA36" s="32"/>
      <c r="EB36" s="32"/>
      <c r="EC36" s="32">
        <v>1</v>
      </c>
      <c r="ED36" s="32"/>
      <c r="EE36" s="32"/>
      <c r="EF36" s="32"/>
      <c r="EG36" s="32"/>
      <c r="EH36" s="32"/>
      <c r="EI36" s="32"/>
      <c r="EJ36" s="32"/>
      <c r="EK36" s="32"/>
      <c r="EL36" s="32"/>
      <c r="EM36" s="32"/>
      <c r="EN36" s="32">
        <v>6</v>
      </c>
    </row>
    <row r="37" spans="1:144" x14ac:dyDescent="0.25">
      <c r="A37" s="31" t="s">
        <v>3053</v>
      </c>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v>1</v>
      </c>
      <c r="BB37" s="32"/>
      <c r="BC37" s="32"/>
      <c r="BD37" s="32"/>
      <c r="BE37" s="32">
        <v>2</v>
      </c>
      <c r="BF37" s="32"/>
      <c r="BG37" s="32"/>
      <c r="BH37" s="32"/>
      <c r="BI37" s="32"/>
      <c r="BJ37" s="32"/>
      <c r="BK37" s="32"/>
      <c r="BL37" s="32"/>
      <c r="BM37" s="32"/>
      <c r="BN37" s="32"/>
      <c r="BO37" s="32"/>
      <c r="BP37" s="32"/>
      <c r="BQ37" s="32"/>
      <c r="BR37" s="32"/>
      <c r="BS37" s="32"/>
      <c r="BT37" s="32"/>
      <c r="BU37" s="32"/>
      <c r="BV37" s="32">
        <v>1</v>
      </c>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v>11</v>
      </c>
      <c r="DG37" s="32"/>
      <c r="DH37" s="32"/>
      <c r="DI37" s="32"/>
      <c r="DJ37" s="32"/>
      <c r="DK37" s="32">
        <v>1</v>
      </c>
      <c r="DL37" s="32"/>
      <c r="DM37" s="32"/>
      <c r="DN37" s="32"/>
      <c r="DO37" s="32">
        <v>3</v>
      </c>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v>19</v>
      </c>
    </row>
    <row r="38" spans="1:144" x14ac:dyDescent="0.25">
      <c r="A38" s="31" t="s">
        <v>1406</v>
      </c>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v>2</v>
      </c>
      <c r="DG38" s="32"/>
      <c r="DH38" s="32"/>
      <c r="DI38" s="32"/>
      <c r="DJ38" s="32"/>
      <c r="DK38" s="32"/>
      <c r="DL38" s="32"/>
      <c r="DM38" s="32"/>
      <c r="DN38" s="32"/>
      <c r="DO38" s="32">
        <v>2</v>
      </c>
      <c r="DP38" s="32"/>
      <c r="DQ38" s="32"/>
      <c r="DR38" s="32"/>
      <c r="DS38" s="32"/>
      <c r="DT38" s="32"/>
      <c r="DU38" s="32"/>
      <c r="DV38" s="32"/>
      <c r="DW38" s="32"/>
      <c r="DX38" s="32">
        <v>2</v>
      </c>
      <c r="DY38" s="32"/>
      <c r="DZ38" s="32"/>
      <c r="EA38" s="32"/>
      <c r="EB38" s="32"/>
      <c r="EC38" s="32"/>
      <c r="ED38" s="32"/>
      <c r="EE38" s="32"/>
      <c r="EF38" s="32"/>
      <c r="EG38" s="32"/>
      <c r="EH38" s="32"/>
      <c r="EI38" s="32"/>
      <c r="EJ38" s="32"/>
      <c r="EK38" s="32"/>
      <c r="EL38" s="32"/>
      <c r="EM38" s="32"/>
      <c r="EN38" s="32">
        <v>6</v>
      </c>
    </row>
    <row r="39" spans="1:144" x14ac:dyDescent="0.25">
      <c r="A39" s="31" t="s">
        <v>2830</v>
      </c>
      <c r="B39" s="32"/>
      <c r="C39" s="32"/>
      <c r="D39" s="32"/>
      <c r="E39" s="32"/>
      <c r="F39" s="32"/>
      <c r="G39" s="32"/>
      <c r="H39" s="32"/>
      <c r="I39" s="32">
        <v>1</v>
      </c>
      <c r="J39" s="32"/>
      <c r="K39" s="32"/>
      <c r="L39" s="32"/>
      <c r="M39" s="32">
        <v>1</v>
      </c>
      <c r="N39" s="32"/>
      <c r="O39" s="32"/>
      <c r="P39" s="32"/>
      <c r="Q39" s="32"/>
      <c r="R39" s="32"/>
      <c r="S39" s="32"/>
      <c r="T39" s="32"/>
      <c r="U39" s="32"/>
      <c r="V39" s="32"/>
      <c r="W39" s="32"/>
      <c r="X39" s="32"/>
      <c r="Y39" s="32"/>
      <c r="Z39" s="32"/>
      <c r="AA39" s="32"/>
      <c r="AB39" s="32"/>
      <c r="AC39" s="32"/>
      <c r="AD39" s="32"/>
      <c r="AE39" s="32"/>
      <c r="AF39" s="32"/>
      <c r="AG39" s="32">
        <v>1</v>
      </c>
      <c r="AH39" s="32">
        <v>1</v>
      </c>
      <c r="AI39" s="32"/>
      <c r="AJ39" s="32"/>
      <c r="AK39" s="32"/>
      <c r="AL39" s="32"/>
      <c r="AM39" s="32"/>
      <c r="AN39" s="32"/>
      <c r="AO39" s="32"/>
      <c r="AP39" s="32">
        <v>1</v>
      </c>
      <c r="AQ39" s="32">
        <v>1</v>
      </c>
      <c r="AR39" s="32"/>
      <c r="AS39" s="32"/>
      <c r="AT39" s="32"/>
      <c r="AU39" s="32"/>
      <c r="AV39" s="32">
        <v>2</v>
      </c>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v>1</v>
      </c>
      <c r="BY39" s="32">
        <v>1</v>
      </c>
      <c r="BZ39" s="32"/>
      <c r="CA39" s="32"/>
      <c r="CB39" s="32"/>
      <c r="CC39" s="32"/>
      <c r="CD39" s="32"/>
      <c r="CE39" s="32"/>
      <c r="CF39" s="32"/>
      <c r="CG39" s="32"/>
      <c r="CH39" s="32"/>
      <c r="CI39" s="32"/>
      <c r="CJ39" s="32">
        <v>1</v>
      </c>
      <c r="CK39" s="32"/>
      <c r="CL39" s="32"/>
      <c r="CM39" s="32"/>
      <c r="CN39" s="32"/>
      <c r="CO39" s="32"/>
      <c r="CP39" s="32"/>
      <c r="CQ39" s="32"/>
      <c r="CR39" s="32"/>
      <c r="CS39" s="32"/>
      <c r="CT39" s="32"/>
      <c r="CU39" s="32"/>
      <c r="CV39" s="32"/>
      <c r="CW39" s="32"/>
      <c r="CX39" s="32">
        <v>5</v>
      </c>
      <c r="CY39" s="32"/>
      <c r="CZ39" s="32"/>
      <c r="DA39" s="32"/>
      <c r="DB39" s="32"/>
      <c r="DC39" s="32"/>
      <c r="DD39" s="32"/>
      <c r="DE39" s="32"/>
      <c r="DF39" s="32">
        <v>1</v>
      </c>
      <c r="DG39" s="32"/>
      <c r="DH39" s="32"/>
      <c r="DI39" s="32">
        <v>2</v>
      </c>
      <c r="DJ39" s="32"/>
      <c r="DK39" s="32"/>
      <c r="DL39" s="32"/>
      <c r="DM39" s="32"/>
      <c r="DN39" s="32"/>
      <c r="DO39" s="32">
        <v>1</v>
      </c>
      <c r="DP39" s="32"/>
      <c r="DQ39" s="32"/>
      <c r="DR39" s="32"/>
      <c r="DS39" s="32"/>
      <c r="DT39" s="32"/>
      <c r="DU39" s="32"/>
      <c r="DV39" s="32"/>
      <c r="DW39" s="32"/>
      <c r="DX39" s="32"/>
      <c r="DY39" s="32"/>
      <c r="DZ39" s="32"/>
      <c r="EA39" s="32">
        <v>2</v>
      </c>
      <c r="EB39" s="32"/>
      <c r="EC39" s="32"/>
      <c r="ED39" s="32"/>
      <c r="EE39" s="32"/>
      <c r="EF39" s="32"/>
      <c r="EG39" s="32"/>
      <c r="EH39" s="32"/>
      <c r="EI39" s="32"/>
      <c r="EJ39" s="32"/>
      <c r="EK39" s="32"/>
      <c r="EL39" s="32"/>
      <c r="EM39" s="32"/>
      <c r="EN39" s="32">
        <v>22</v>
      </c>
    </row>
    <row r="40" spans="1:144" x14ac:dyDescent="0.25">
      <c r="A40" s="31" t="s">
        <v>105</v>
      </c>
      <c r="B40" s="32"/>
      <c r="C40" s="32"/>
      <c r="D40" s="32"/>
      <c r="E40" s="32">
        <v>2</v>
      </c>
      <c r="F40" s="32"/>
      <c r="G40" s="32"/>
      <c r="H40" s="32"/>
      <c r="I40" s="32"/>
      <c r="J40" s="32"/>
      <c r="K40" s="32"/>
      <c r="L40" s="32"/>
      <c r="M40" s="32"/>
      <c r="N40" s="32"/>
      <c r="O40" s="32"/>
      <c r="P40" s="32"/>
      <c r="Q40" s="32"/>
      <c r="R40" s="32"/>
      <c r="S40" s="32"/>
      <c r="T40" s="32"/>
      <c r="U40" s="32"/>
      <c r="V40" s="32">
        <v>1</v>
      </c>
      <c r="W40" s="32"/>
      <c r="X40" s="32"/>
      <c r="Y40" s="32"/>
      <c r="Z40" s="32"/>
      <c r="AA40" s="32"/>
      <c r="AB40" s="32"/>
      <c r="AC40" s="32"/>
      <c r="AD40" s="32"/>
      <c r="AE40" s="32"/>
      <c r="AF40" s="32"/>
      <c r="AG40" s="32"/>
      <c r="AH40" s="32"/>
      <c r="AI40" s="32"/>
      <c r="AJ40" s="32"/>
      <c r="AK40" s="32"/>
      <c r="AL40" s="32"/>
      <c r="AM40" s="32">
        <v>2</v>
      </c>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v>1</v>
      </c>
      <c r="DY40" s="32"/>
      <c r="DZ40" s="32"/>
      <c r="EA40" s="32"/>
      <c r="EB40" s="32"/>
      <c r="EC40" s="32">
        <v>1</v>
      </c>
      <c r="ED40" s="32"/>
      <c r="EE40" s="32"/>
      <c r="EF40" s="32"/>
      <c r="EG40" s="32"/>
      <c r="EH40" s="32"/>
      <c r="EI40" s="32"/>
      <c r="EJ40" s="32"/>
      <c r="EK40" s="32"/>
      <c r="EL40" s="32"/>
      <c r="EM40" s="32"/>
      <c r="EN40" s="32">
        <v>7</v>
      </c>
    </row>
    <row r="41" spans="1:144" x14ac:dyDescent="0.25">
      <c r="A41" s="31" t="s">
        <v>2203</v>
      </c>
      <c r="B41" s="32"/>
      <c r="C41" s="32"/>
      <c r="D41" s="32"/>
      <c r="E41" s="32"/>
      <c r="F41" s="32"/>
      <c r="G41" s="32"/>
      <c r="H41" s="32"/>
      <c r="I41" s="32"/>
      <c r="J41" s="32"/>
      <c r="K41" s="32"/>
      <c r="L41" s="32"/>
      <c r="M41" s="32"/>
      <c r="N41" s="32"/>
      <c r="O41" s="32"/>
      <c r="P41" s="32"/>
      <c r="Q41" s="32"/>
      <c r="R41" s="32"/>
      <c r="S41" s="32">
        <v>1</v>
      </c>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v>1</v>
      </c>
      <c r="BF41" s="32"/>
      <c r="BG41" s="32"/>
      <c r="BH41" s="32">
        <v>1</v>
      </c>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v>1</v>
      </c>
      <c r="CX41" s="32"/>
      <c r="CY41" s="32"/>
      <c r="CZ41" s="32"/>
      <c r="DA41" s="32"/>
      <c r="DB41" s="32"/>
      <c r="DC41" s="32">
        <v>1</v>
      </c>
      <c r="DD41" s="32"/>
      <c r="DE41" s="32"/>
      <c r="DF41" s="32"/>
      <c r="DG41" s="32"/>
      <c r="DH41" s="32"/>
      <c r="DI41" s="32"/>
      <c r="DJ41" s="32"/>
      <c r="DK41" s="32"/>
      <c r="DL41" s="32">
        <v>1</v>
      </c>
      <c r="DM41" s="32"/>
      <c r="DN41" s="32"/>
      <c r="DO41" s="32">
        <v>3</v>
      </c>
      <c r="DP41" s="32"/>
      <c r="DQ41" s="32"/>
      <c r="DR41" s="32"/>
      <c r="DS41" s="32"/>
      <c r="DT41" s="32"/>
      <c r="DU41" s="32"/>
      <c r="DV41" s="32"/>
      <c r="DW41" s="32"/>
      <c r="DX41" s="32">
        <v>1</v>
      </c>
      <c r="DY41" s="32"/>
      <c r="DZ41" s="32"/>
      <c r="EA41" s="32"/>
      <c r="EB41" s="32"/>
      <c r="EC41" s="32"/>
      <c r="ED41" s="32"/>
      <c r="EE41" s="32"/>
      <c r="EF41" s="32"/>
      <c r="EG41" s="32"/>
      <c r="EH41" s="32"/>
      <c r="EI41" s="32"/>
      <c r="EJ41" s="32"/>
      <c r="EK41" s="32"/>
      <c r="EL41" s="32"/>
      <c r="EM41" s="32"/>
      <c r="EN41" s="32">
        <v>10</v>
      </c>
    </row>
    <row r="42" spans="1:144" x14ac:dyDescent="0.25">
      <c r="A42" s="31" t="s">
        <v>396</v>
      </c>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v>1</v>
      </c>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v>4</v>
      </c>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v>5</v>
      </c>
    </row>
    <row r="43" spans="1:144" x14ac:dyDescent="0.25">
      <c r="A43" s="31" t="s">
        <v>2303</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v>1</v>
      </c>
      <c r="EB43" s="32"/>
      <c r="EC43" s="32"/>
      <c r="ED43" s="32"/>
      <c r="EE43" s="32"/>
      <c r="EF43" s="32"/>
      <c r="EG43" s="32"/>
      <c r="EH43" s="32"/>
      <c r="EI43" s="32"/>
      <c r="EJ43" s="32"/>
      <c r="EK43" s="32"/>
      <c r="EL43" s="32"/>
      <c r="EM43" s="32"/>
      <c r="EN43" s="32">
        <v>1</v>
      </c>
    </row>
    <row r="44" spans="1:144" x14ac:dyDescent="0.25">
      <c r="A44" s="31" t="s">
        <v>3081</v>
      </c>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v>1</v>
      </c>
      <c r="CK44" s="32"/>
      <c r="CL44" s="32"/>
      <c r="CM44" s="32"/>
      <c r="CN44" s="32"/>
      <c r="CO44" s="32"/>
      <c r="CP44" s="32">
        <v>1</v>
      </c>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v>2</v>
      </c>
    </row>
    <row r="45" spans="1:144" x14ac:dyDescent="0.25">
      <c r="A45" s="31" t="s">
        <v>2660</v>
      </c>
      <c r="B45" s="32"/>
      <c r="C45" s="32"/>
      <c r="D45" s="32"/>
      <c r="E45" s="32"/>
      <c r="F45" s="32"/>
      <c r="G45" s="32"/>
      <c r="H45" s="32"/>
      <c r="I45" s="32"/>
      <c r="J45" s="32"/>
      <c r="K45" s="32"/>
      <c r="L45" s="32"/>
      <c r="M45" s="32"/>
      <c r="N45" s="32"/>
      <c r="O45" s="32"/>
      <c r="P45" s="32"/>
      <c r="Q45" s="32"/>
      <c r="R45" s="32"/>
      <c r="S45" s="32"/>
      <c r="T45" s="32"/>
      <c r="U45" s="32"/>
      <c r="V45" s="32">
        <v>1</v>
      </c>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v>2</v>
      </c>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v>8</v>
      </c>
      <c r="DG45" s="32"/>
      <c r="DH45" s="32"/>
      <c r="DI45" s="32"/>
      <c r="DJ45" s="32"/>
      <c r="DK45" s="32"/>
      <c r="DL45" s="32"/>
      <c r="DM45" s="32"/>
      <c r="DN45" s="32"/>
      <c r="DO45" s="32">
        <v>2</v>
      </c>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v>13</v>
      </c>
    </row>
    <row r="46" spans="1:144" x14ac:dyDescent="0.25">
      <c r="A46" s="31" t="s">
        <v>3218</v>
      </c>
      <c r="B46" s="32"/>
      <c r="C46" s="32"/>
      <c r="D46" s="32"/>
      <c r="E46" s="32"/>
      <c r="F46" s="32"/>
      <c r="G46" s="32"/>
      <c r="H46" s="32"/>
      <c r="I46" s="32"/>
      <c r="J46" s="32"/>
      <c r="K46" s="32"/>
      <c r="L46" s="32"/>
      <c r="M46" s="32"/>
      <c r="N46" s="32"/>
      <c r="O46" s="32"/>
      <c r="P46" s="32"/>
      <c r="Q46" s="32"/>
      <c r="R46" s="32"/>
      <c r="S46" s="32"/>
      <c r="T46" s="32"/>
      <c r="U46" s="32"/>
      <c r="V46" s="32"/>
      <c r="W46" s="32"/>
      <c r="X46" s="32"/>
      <c r="Y46" s="32"/>
      <c r="Z46" s="32">
        <v>1</v>
      </c>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v>1</v>
      </c>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c r="DL46" s="32"/>
      <c r="DM46" s="32"/>
      <c r="DN46" s="32"/>
      <c r="DO46" s="32"/>
      <c r="DP46" s="32"/>
      <c r="DQ46" s="32"/>
      <c r="DR46" s="32"/>
      <c r="DS46" s="32"/>
      <c r="DT46" s="32"/>
      <c r="DU46" s="32"/>
      <c r="DV46" s="32"/>
      <c r="DW46" s="32"/>
      <c r="DX46" s="32">
        <v>1</v>
      </c>
      <c r="DY46" s="32"/>
      <c r="DZ46" s="32"/>
      <c r="EA46" s="32"/>
      <c r="EB46" s="32"/>
      <c r="EC46" s="32"/>
      <c r="ED46" s="32"/>
      <c r="EE46" s="32"/>
      <c r="EF46" s="32"/>
      <c r="EG46" s="32"/>
      <c r="EH46" s="32"/>
      <c r="EI46" s="32"/>
      <c r="EJ46" s="32"/>
      <c r="EK46" s="32"/>
      <c r="EL46" s="32"/>
      <c r="EM46" s="32"/>
      <c r="EN46" s="32">
        <v>3</v>
      </c>
    </row>
    <row r="47" spans="1:144" x14ac:dyDescent="0.25">
      <c r="A47" s="31" t="s">
        <v>2661</v>
      </c>
      <c r="B47" s="32"/>
      <c r="C47" s="32"/>
      <c r="D47" s="32"/>
      <c r="E47" s="32"/>
      <c r="F47" s="32"/>
      <c r="G47" s="32"/>
      <c r="H47" s="32"/>
      <c r="I47" s="32"/>
      <c r="J47" s="32"/>
      <c r="K47" s="32"/>
      <c r="L47" s="32"/>
      <c r="M47" s="32">
        <v>1</v>
      </c>
      <c r="N47" s="32"/>
      <c r="O47" s="32"/>
      <c r="P47" s="32"/>
      <c r="Q47" s="32"/>
      <c r="R47" s="32"/>
      <c r="S47" s="32"/>
      <c r="T47" s="32"/>
      <c r="U47" s="32"/>
      <c r="V47" s="32">
        <v>2</v>
      </c>
      <c r="W47" s="32"/>
      <c r="X47" s="32"/>
      <c r="Y47" s="32"/>
      <c r="Z47" s="32"/>
      <c r="AA47" s="32"/>
      <c r="AB47" s="32"/>
      <c r="AC47" s="32"/>
      <c r="AD47" s="32"/>
      <c r="AE47" s="32"/>
      <c r="AF47" s="32"/>
      <c r="AG47" s="32"/>
      <c r="AH47" s="32"/>
      <c r="AI47" s="32"/>
      <c r="AJ47" s="32"/>
      <c r="AK47" s="32">
        <v>2</v>
      </c>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v>4</v>
      </c>
      <c r="BJ47" s="32"/>
      <c r="BK47" s="32"/>
      <c r="BL47" s="32"/>
      <c r="BM47" s="32"/>
      <c r="BN47" s="32">
        <v>1</v>
      </c>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v>1</v>
      </c>
      <c r="CU47" s="32">
        <v>1</v>
      </c>
      <c r="CV47" s="32">
        <v>1</v>
      </c>
      <c r="CW47" s="32"/>
      <c r="CX47" s="32">
        <v>3</v>
      </c>
      <c r="CY47" s="32">
        <v>1</v>
      </c>
      <c r="CZ47" s="32"/>
      <c r="DA47" s="32"/>
      <c r="DB47" s="32"/>
      <c r="DC47" s="32"/>
      <c r="DD47" s="32"/>
      <c r="DE47" s="32"/>
      <c r="DF47" s="32">
        <v>10</v>
      </c>
      <c r="DG47" s="32"/>
      <c r="DH47" s="32"/>
      <c r="DI47" s="32">
        <v>1</v>
      </c>
      <c r="DJ47" s="32"/>
      <c r="DK47" s="32">
        <v>2</v>
      </c>
      <c r="DL47" s="32"/>
      <c r="DM47" s="32"/>
      <c r="DN47" s="32"/>
      <c r="DO47" s="32">
        <v>5</v>
      </c>
      <c r="DP47" s="32"/>
      <c r="DQ47" s="32"/>
      <c r="DR47" s="32"/>
      <c r="DS47" s="32"/>
      <c r="DT47" s="32"/>
      <c r="DU47" s="32"/>
      <c r="DV47" s="32"/>
      <c r="DW47" s="32"/>
      <c r="DX47" s="32"/>
      <c r="DY47" s="32"/>
      <c r="DZ47" s="32"/>
      <c r="EA47" s="32">
        <v>1</v>
      </c>
      <c r="EB47" s="32"/>
      <c r="EC47" s="32"/>
      <c r="ED47" s="32"/>
      <c r="EE47" s="32"/>
      <c r="EF47" s="32"/>
      <c r="EG47" s="32"/>
      <c r="EH47" s="32"/>
      <c r="EI47" s="32"/>
      <c r="EJ47" s="32"/>
      <c r="EK47" s="32"/>
      <c r="EL47" s="32"/>
      <c r="EM47" s="32"/>
      <c r="EN47" s="32">
        <v>36</v>
      </c>
    </row>
    <row r="48" spans="1:144" x14ac:dyDescent="0.25">
      <c r="A48" s="31" t="s">
        <v>2018</v>
      </c>
      <c r="B48" s="32"/>
      <c r="C48" s="32"/>
      <c r="D48" s="32"/>
      <c r="E48" s="32"/>
      <c r="F48" s="32"/>
      <c r="G48" s="32"/>
      <c r="H48" s="32"/>
      <c r="I48" s="32"/>
      <c r="J48" s="32"/>
      <c r="K48" s="32"/>
      <c r="L48" s="32"/>
      <c r="M48" s="32"/>
      <c r="N48" s="32">
        <v>3</v>
      </c>
      <c r="O48" s="32"/>
      <c r="P48" s="32"/>
      <c r="Q48" s="32"/>
      <c r="R48" s="32"/>
      <c r="S48" s="32">
        <v>1</v>
      </c>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v>1</v>
      </c>
      <c r="BF48" s="32"/>
      <c r="BG48" s="32"/>
      <c r="BH48" s="32">
        <v>1</v>
      </c>
      <c r="BI48" s="32">
        <v>1</v>
      </c>
      <c r="BJ48" s="32"/>
      <c r="BK48" s="32"/>
      <c r="BL48" s="32"/>
      <c r="BM48" s="32"/>
      <c r="BN48" s="32">
        <v>3</v>
      </c>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v>24</v>
      </c>
      <c r="DG48" s="32"/>
      <c r="DH48" s="32"/>
      <c r="DI48" s="32"/>
      <c r="DJ48" s="32"/>
      <c r="DK48" s="32">
        <v>2</v>
      </c>
      <c r="DL48" s="32"/>
      <c r="DM48" s="32"/>
      <c r="DN48" s="32"/>
      <c r="DO48" s="32">
        <v>6</v>
      </c>
      <c r="DP48" s="32"/>
      <c r="DQ48" s="32"/>
      <c r="DR48" s="32"/>
      <c r="DS48" s="32"/>
      <c r="DT48" s="32"/>
      <c r="DU48" s="32"/>
      <c r="DV48" s="32"/>
      <c r="DW48" s="32"/>
      <c r="DX48" s="32"/>
      <c r="DY48" s="32"/>
      <c r="DZ48" s="32"/>
      <c r="EA48" s="32">
        <v>1</v>
      </c>
      <c r="EB48" s="32"/>
      <c r="EC48" s="32"/>
      <c r="ED48" s="32"/>
      <c r="EE48" s="32"/>
      <c r="EF48" s="32"/>
      <c r="EG48" s="32"/>
      <c r="EH48" s="32"/>
      <c r="EI48" s="32"/>
      <c r="EJ48" s="32"/>
      <c r="EK48" s="32"/>
      <c r="EL48" s="32"/>
      <c r="EM48" s="32"/>
      <c r="EN48" s="32">
        <v>43</v>
      </c>
    </row>
    <row r="49" spans="1:144" x14ac:dyDescent="0.25">
      <c r="A49" s="31" t="s">
        <v>2582</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v>1</v>
      </c>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v>1</v>
      </c>
    </row>
    <row r="50" spans="1:144" x14ac:dyDescent="0.25">
      <c r="A50" s="31" t="s">
        <v>671</v>
      </c>
      <c r="B50" s="32"/>
      <c r="C50" s="32"/>
      <c r="D50" s="32"/>
      <c r="E50" s="32"/>
      <c r="F50" s="32"/>
      <c r="G50" s="32"/>
      <c r="H50" s="32"/>
      <c r="I50" s="32"/>
      <c r="J50" s="32"/>
      <c r="K50" s="32"/>
      <c r="L50" s="32"/>
      <c r="M50" s="32"/>
      <c r="N50" s="32"/>
      <c r="O50" s="32"/>
      <c r="P50" s="32"/>
      <c r="Q50" s="32"/>
      <c r="R50" s="32"/>
      <c r="S50" s="32">
        <v>1</v>
      </c>
      <c r="T50" s="32"/>
      <c r="U50" s="32"/>
      <c r="V50" s="32">
        <v>4</v>
      </c>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v>1</v>
      </c>
      <c r="BH50" s="32"/>
      <c r="BI50" s="32"/>
      <c r="BJ50" s="32"/>
      <c r="BK50" s="32"/>
      <c r="BL50" s="32"/>
      <c r="BM50" s="32"/>
      <c r="BN50" s="32"/>
      <c r="BO50" s="32"/>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c r="CT50" s="32"/>
      <c r="CU50" s="32"/>
      <c r="CV50" s="32"/>
      <c r="CW50" s="32"/>
      <c r="CX50" s="32">
        <v>2</v>
      </c>
      <c r="CY50" s="32"/>
      <c r="CZ50" s="32"/>
      <c r="DA50" s="32"/>
      <c r="DB50" s="32"/>
      <c r="DC50" s="32"/>
      <c r="DD50" s="32"/>
      <c r="DE50" s="32"/>
      <c r="DF50" s="32">
        <v>4</v>
      </c>
      <c r="DG50" s="32"/>
      <c r="DH50" s="32"/>
      <c r="DI50" s="32"/>
      <c r="DJ50" s="32"/>
      <c r="DK50" s="32"/>
      <c r="DL50" s="32"/>
      <c r="DM50" s="32"/>
      <c r="DN50" s="32"/>
      <c r="DO50" s="32">
        <v>1</v>
      </c>
      <c r="DP50" s="32"/>
      <c r="DQ50" s="32"/>
      <c r="DR50" s="32"/>
      <c r="DS50" s="32"/>
      <c r="DT50" s="32"/>
      <c r="DU50" s="32"/>
      <c r="DV50" s="32"/>
      <c r="DW50" s="32"/>
      <c r="DX50" s="32"/>
      <c r="DY50" s="32"/>
      <c r="DZ50" s="32"/>
      <c r="EA50" s="32"/>
      <c r="EB50" s="32"/>
      <c r="EC50" s="32"/>
      <c r="ED50" s="32"/>
      <c r="EE50" s="32"/>
      <c r="EF50" s="32"/>
      <c r="EG50" s="32"/>
      <c r="EH50" s="32"/>
      <c r="EI50" s="32"/>
      <c r="EJ50" s="32"/>
      <c r="EK50" s="32"/>
      <c r="EL50" s="32"/>
      <c r="EM50" s="32"/>
      <c r="EN50" s="32">
        <v>13</v>
      </c>
    </row>
    <row r="51" spans="1:144" x14ac:dyDescent="0.25">
      <c r="A51" s="31" t="s">
        <v>1734</v>
      </c>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c r="CI51" s="32"/>
      <c r="CJ51" s="32"/>
      <c r="CK51" s="32"/>
      <c r="CL51" s="32"/>
      <c r="CM51" s="32"/>
      <c r="CN51" s="32"/>
      <c r="CO51" s="32"/>
      <c r="CP51" s="32"/>
      <c r="CQ51" s="32"/>
      <c r="CR51" s="32"/>
      <c r="CS51" s="32"/>
      <c r="CT51" s="32"/>
      <c r="CU51" s="32"/>
      <c r="CV51" s="32"/>
      <c r="CW51" s="32"/>
      <c r="CX51" s="32"/>
      <c r="CY51" s="32"/>
      <c r="CZ51" s="32"/>
      <c r="DA51" s="32"/>
      <c r="DB51" s="32">
        <v>3</v>
      </c>
      <c r="DC51" s="32"/>
      <c r="DD51" s="32"/>
      <c r="DE51" s="32"/>
      <c r="DF51" s="32"/>
      <c r="DG51" s="32"/>
      <c r="DH51" s="32"/>
      <c r="DI51" s="32"/>
      <c r="DJ51" s="32"/>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c r="EL51" s="32"/>
      <c r="EM51" s="32"/>
      <c r="EN51" s="32">
        <v>3</v>
      </c>
    </row>
    <row r="52" spans="1:144" x14ac:dyDescent="0.25">
      <c r="A52" s="31" t="s">
        <v>2940</v>
      </c>
      <c r="B52" s="32"/>
      <c r="C52" s="32"/>
      <c r="D52" s="32"/>
      <c r="E52" s="32"/>
      <c r="F52" s="32"/>
      <c r="G52" s="32"/>
      <c r="H52" s="32"/>
      <c r="I52" s="32">
        <v>1</v>
      </c>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v>1</v>
      </c>
      <c r="AI52" s="32"/>
      <c r="AJ52" s="32"/>
      <c r="AK52" s="32"/>
      <c r="AL52" s="32"/>
      <c r="AM52" s="32"/>
      <c r="AN52" s="32"/>
      <c r="AO52" s="32"/>
      <c r="AP52" s="32"/>
      <c r="AQ52" s="32"/>
      <c r="AR52" s="32"/>
      <c r="AS52" s="32"/>
      <c r="AT52" s="32"/>
      <c r="AU52" s="32"/>
      <c r="AV52" s="32"/>
      <c r="AW52" s="32"/>
      <c r="AX52" s="32"/>
      <c r="AY52" s="32"/>
      <c r="AZ52" s="32"/>
      <c r="BA52" s="32"/>
      <c r="BB52" s="32"/>
      <c r="BC52" s="32"/>
      <c r="BD52" s="32">
        <v>2</v>
      </c>
      <c r="BE52" s="32">
        <v>2</v>
      </c>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v>1</v>
      </c>
      <c r="CY52" s="32">
        <v>1</v>
      </c>
      <c r="CZ52" s="32"/>
      <c r="DA52" s="32"/>
      <c r="DB52" s="32"/>
      <c r="DC52" s="32"/>
      <c r="DD52" s="32"/>
      <c r="DE52" s="32"/>
      <c r="DF52" s="32">
        <v>2</v>
      </c>
      <c r="DG52" s="32"/>
      <c r="DH52" s="32"/>
      <c r="DI52" s="32">
        <v>8</v>
      </c>
      <c r="DJ52" s="32"/>
      <c r="DK52" s="32"/>
      <c r="DL52" s="32">
        <v>1</v>
      </c>
      <c r="DM52" s="32"/>
      <c r="DN52" s="32"/>
      <c r="DO52" s="32">
        <v>2</v>
      </c>
      <c r="DP52" s="32"/>
      <c r="DQ52" s="32"/>
      <c r="DR52" s="32"/>
      <c r="DS52" s="32"/>
      <c r="DT52" s="32"/>
      <c r="DU52" s="32"/>
      <c r="DV52" s="32"/>
      <c r="DW52" s="32"/>
      <c r="DX52" s="32"/>
      <c r="DY52" s="32"/>
      <c r="DZ52" s="32"/>
      <c r="EA52" s="32">
        <v>3</v>
      </c>
      <c r="EB52" s="32"/>
      <c r="EC52" s="32"/>
      <c r="ED52" s="32"/>
      <c r="EE52" s="32"/>
      <c r="EF52" s="32"/>
      <c r="EG52" s="32"/>
      <c r="EH52" s="32"/>
      <c r="EI52" s="32"/>
      <c r="EJ52" s="32"/>
      <c r="EK52" s="32"/>
      <c r="EL52" s="32"/>
      <c r="EM52" s="32"/>
      <c r="EN52" s="32">
        <v>24</v>
      </c>
    </row>
    <row r="53" spans="1:144" x14ac:dyDescent="0.25">
      <c r="A53" s="31" t="s">
        <v>3482</v>
      </c>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v>2</v>
      </c>
      <c r="DG53" s="32"/>
      <c r="DH53" s="32"/>
      <c r="DI53" s="32">
        <v>1</v>
      </c>
      <c r="DJ53" s="32"/>
      <c r="DK53" s="32"/>
      <c r="DL53" s="32"/>
      <c r="DM53" s="32"/>
      <c r="DN53" s="32"/>
      <c r="DO53" s="32">
        <v>1</v>
      </c>
      <c r="DP53" s="32"/>
      <c r="DQ53" s="32"/>
      <c r="DR53" s="32"/>
      <c r="DS53" s="32"/>
      <c r="DT53" s="32"/>
      <c r="DU53" s="32"/>
      <c r="DV53" s="32"/>
      <c r="DW53" s="32"/>
      <c r="DX53" s="32"/>
      <c r="DY53" s="32"/>
      <c r="DZ53" s="32"/>
      <c r="EA53" s="32">
        <v>1</v>
      </c>
      <c r="EB53" s="32"/>
      <c r="EC53" s="32"/>
      <c r="ED53" s="32"/>
      <c r="EE53" s="32"/>
      <c r="EF53" s="32"/>
      <c r="EG53" s="32"/>
      <c r="EH53" s="32"/>
      <c r="EI53" s="32"/>
      <c r="EJ53" s="32"/>
      <c r="EK53" s="32"/>
      <c r="EL53" s="32"/>
      <c r="EM53" s="32"/>
      <c r="EN53" s="32">
        <v>5</v>
      </c>
    </row>
    <row r="54" spans="1:144" x14ac:dyDescent="0.25">
      <c r="A54" s="31" t="s">
        <v>3544</v>
      </c>
      <c r="B54" s="32"/>
      <c r="C54" s="32"/>
      <c r="D54" s="32"/>
      <c r="E54" s="32"/>
      <c r="F54" s="32"/>
      <c r="G54" s="32"/>
      <c r="H54" s="32"/>
      <c r="I54" s="32"/>
      <c r="J54" s="32"/>
      <c r="K54" s="32">
        <v>1</v>
      </c>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v>1</v>
      </c>
      <c r="CY54" s="32"/>
      <c r="CZ54" s="32"/>
      <c r="DA54" s="32"/>
      <c r="DB54" s="32"/>
      <c r="DC54" s="32"/>
      <c r="DD54" s="32"/>
      <c r="DE54" s="32"/>
      <c r="DF54" s="32"/>
      <c r="DG54" s="32"/>
      <c r="DH54" s="32"/>
      <c r="DI54" s="32"/>
      <c r="DJ54" s="32"/>
      <c r="DK54" s="32"/>
      <c r="DL54" s="32"/>
      <c r="DM54" s="32"/>
      <c r="DN54" s="32"/>
      <c r="DO54" s="32">
        <v>1</v>
      </c>
      <c r="DP54" s="32"/>
      <c r="DQ54" s="32"/>
      <c r="DR54" s="32"/>
      <c r="DS54" s="32"/>
      <c r="DT54" s="32"/>
      <c r="DU54" s="32"/>
      <c r="DV54" s="32"/>
      <c r="DW54" s="32"/>
      <c r="DX54" s="32"/>
      <c r="DY54" s="32"/>
      <c r="DZ54" s="32"/>
      <c r="EA54" s="32"/>
      <c r="EB54" s="32"/>
      <c r="EC54" s="32">
        <v>1</v>
      </c>
      <c r="ED54" s="32"/>
      <c r="EE54" s="32"/>
      <c r="EF54" s="32"/>
      <c r="EG54" s="32"/>
      <c r="EH54" s="32"/>
      <c r="EI54" s="32"/>
      <c r="EJ54" s="32"/>
      <c r="EK54" s="32"/>
      <c r="EL54" s="32"/>
      <c r="EM54" s="32"/>
      <c r="EN54" s="32">
        <v>4</v>
      </c>
    </row>
    <row r="55" spans="1:144" x14ac:dyDescent="0.25">
      <c r="A55" s="31" t="s">
        <v>317</v>
      </c>
      <c r="B55" s="32"/>
      <c r="C55" s="32">
        <v>1</v>
      </c>
      <c r="D55" s="32"/>
      <c r="E55" s="32"/>
      <c r="F55" s="32"/>
      <c r="G55" s="32"/>
      <c r="H55" s="32"/>
      <c r="I55" s="32"/>
      <c r="J55" s="32"/>
      <c r="K55" s="32"/>
      <c r="L55" s="32"/>
      <c r="M55" s="32">
        <v>1</v>
      </c>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v>1</v>
      </c>
      <c r="CO55" s="32"/>
      <c r="CP55" s="32"/>
      <c r="CQ55" s="32"/>
      <c r="CR55" s="32"/>
      <c r="CS55" s="32"/>
      <c r="CT55" s="32"/>
      <c r="CU55" s="32"/>
      <c r="CV55" s="32"/>
      <c r="CW55" s="32"/>
      <c r="CX55" s="32"/>
      <c r="CY55" s="32">
        <v>1</v>
      </c>
      <c r="CZ55" s="32"/>
      <c r="DA55" s="32"/>
      <c r="DB55" s="32"/>
      <c r="DC55" s="32"/>
      <c r="DD55" s="32"/>
      <c r="DE55" s="32"/>
      <c r="DF55" s="32"/>
      <c r="DG55" s="32"/>
      <c r="DH55" s="32"/>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v>4</v>
      </c>
    </row>
    <row r="56" spans="1:144" x14ac:dyDescent="0.25">
      <c r="A56" s="31" t="s">
        <v>1318</v>
      </c>
      <c r="B56" s="32"/>
      <c r="C56" s="32"/>
      <c r="D56" s="32"/>
      <c r="E56" s="32"/>
      <c r="F56" s="32"/>
      <c r="G56" s="32"/>
      <c r="H56" s="32"/>
      <c r="I56" s="32"/>
      <c r="J56" s="32"/>
      <c r="K56" s="32"/>
      <c r="L56" s="32"/>
      <c r="M56" s="32"/>
      <c r="N56" s="32"/>
      <c r="O56" s="32"/>
      <c r="P56" s="32"/>
      <c r="Q56" s="32"/>
      <c r="R56" s="32"/>
      <c r="S56" s="32">
        <v>3</v>
      </c>
      <c r="T56" s="32"/>
      <c r="U56" s="32"/>
      <c r="V56" s="32">
        <v>4</v>
      </c>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v>1</v>
      </c>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c r="CL56" s="32"/>
      <c r="CM56" s="32"/>
      <c r="CN56" s="32"/>
      <c r="CO56" s="32"/>
      <c r="CP56" s="32"/>
      <c r="CQ56" s="32"/>
      <c r="CR56" s="32"/>
      <c r="CS56" s="32"/>
      <c r="CT56" s="32"/>
      <c r="CU56" s="32"/>
      <c r="CV56" s="32"/>
      <c r="CW56" s="32"/>
      <c r="CX56" s="32"/>
      <c r="CY56" s="32">
        <v>1</v>
      </c>
      <c r="CZ56" s="32"/>
      <c r="DA56" s="32"/>
      <c r="DB56" s="32"/>
      <c r="DC56" s="32"/>
      <c r="DD56" s="32"/>
      <c r="DE56" s="32"/>
      <c r="DF56" s="32"/>
      <c r="DG56" s="32"/>
      <c r="DH56" s="32"/>
      <c r="DI56" s="32">
        <v>3</v>
      </c>
      <c r="DJ56" s="32"/>
      <c r="DK56" s="32">
        <v>1</v>
      </c>
      <c r="DL56" s="32">
        <v>1</v>
      </c>
      <c r="DM56" s="32"/>
      <c r="DN56" s="32"/>
      <c r="DO56" s="32"/>
      <c r="DP56" s="32"/>
      <c r="DQ56" s="32"/>
      <c r="DR56" s="32"/>
      <c r="DS56" s="32">
        <v>2</v>
      </c>
      <c r="DT56" s="32"/>
      <c r="DU56" s="32"/>
      <c r="DV56" s="32"/>
      <c r="DW56" s="32"/>
      <c r="DX56" s="32"/>
      <c r="DY56" s="32"/>
      <c r="DZ56" s="32"/>
      <c r="EA56" s="32">
        <v>3</v>
      </c>
      <c r="EB56" s="32"/>
      <c r="EC56" s="32">
        <v>2</v>
      </c>
      <c r="ED56" s="32"/>
      <c r="EE56" s="32"/>
      <c r="EF56" s="32"/>
      <c r="EG56" s="32"/>
      <c r="EH56" s="32"/>
      <c r="EI56" s="32"/>
      <c r="EJ56" s="32"/>
      <c r="EK56" s="32"/>
      <c r="EL56" s="32"/>
      <c r="EM56" s="32"/>
      <c r="EN56" s="32">
        <v>21</v>
      </c>
    </row>
    <row r="57" spans="1:144" x14ac:dyDescent="0.25">
      <c r="A57" s="31" t="s">
        <v>77</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v>3</v>
      </c>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v>2</v>
      </c>
      <c r="CY57" s="32"/>
      <c r="CZ57" s="32"/>
      <c r="DA57" s="32"/>
      <c r="DB57" s="32"/>
      <c r="DC57" s="32"/>
      <c r="DD57" s="32"/>
      <c r="DE57" s="32"/>
      <c r="DF57" s="32"/>
      <c r="DG57" s="32"/>
      <c r="DH57" s="32"/>
      <c r="DI57" s="32"/>
      <c r="DJ57" s="32"/>
      <c r="DK57" s="32"/>
      <c r="DL57" s="32"/>
      <c r="DM57" s="32"/>
      <c r="DN57" s="32"/>
      <c r="DO57" s="32">
        <v>2</v>
      </c>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v>7</v>
      </c>
    </row>
    <row r="58" spans="1:144" x14ac:dyDescent="0.25">
      <c r="A58" s="31" t="s">
        <v>2782</v>
      </c>
      <c r="B58" s="32"/>
      <c r="C58" s="32"/>
      <c r="D58" s="32"/>
      <c r="E58" s="32"/>
      <c r="F58" s="32"/>
      <c r="G58" s="32"/>
      <c r="H58" s="32"/>
      <c r="I58" s="32"/>
      <c r="J58" s="32"/>
      <c r="K58" s="32"/>
      <c r="L58" s="32"/>
      <c r="M58" s="32"/>
      <c r="N58" s="32"/>
      <c r="O58" s="32"/>
      <c r="P58" s="32"/>
      <c r="Q58" s="32"/>
      <c r="R58" s="32"/>
      <c r="S58" s="32"/>
      <c r="T58" s="32"/>
      <c r="U58" s="32"/>
      <c r="V58" s="32">
        <v>1</v>
      </c>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v>1</v>
      </c>
      <c r="BE58" s="32">
        <v>1</v>
      </c>
      <c r="BF58" s="32"/>
      <c r="BG58" s="32"/>
      <c r="BH58" s="32"/>
      <c r="BI58" s="32"/>
      <c r="BJ58" s="32"/>
      <c r="BK58" s="32"/>
      <c r="BL58" s="32"/>
      <c r="BM58" s="32"/>
      <c r="BN58" s="32"/>
      <c r="BO58" s="32">
        <v>1</v>
      </c>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c r="DL58" s="32">
        <v>1</v>
      </c>
      <c r="DM58" s="32"/>
      <c r="DN58" s="32"/>
      <c r="DO58" s="32">
        <v>1</v>
      </c>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v>6</v>
      </c>
    </row>
    <row r="59" spans="1:144" x14ac:dyDescent="0.25">
      <c r="A59" s="31" t="s">
        <v>68</v>
      </c>
      <c r="B59" s="32"/>
      <c r="C59" s="32"/>
      <c r="D59" s="32"/>
      <c r="E59" s="32"/>
      <c r="F59" s="32"/>
      <c r="G59" s="32"/>
      <c r="H59" s="32"/>
      <c r="I59" s="32"/>
      <c r="J59" s="32"/>
      <c r="K59" s="32"/>
      <c r="L59" s="32"/>
      <c r="M59" s="32"/>
      <c r="N59" s="32">
        <v>2</v>
      </c>
      <c r="O59" s="32"/>
      <c r="P59" s="32"/>
      <c r="Q59" s="32"/>
      <c r="R59" s="32"/>
      <c r="S59" s="32">
        <v>8</v>
      </c>
      <c r="T59" s="32"/>
      <c r="U59" s="32"/>
      <c r="V59" s="32">
        <v>3</v>
      </c>
      <c r="W59" s="32"/>
      <c r="X59" s="32"/>
      <c r="Y59" s="32"/>
      <c r="Z59" s="32"/>
      <c r="AA59" s="32"/>
      <c r="AB59" s="32"/>
      <c r="AC59" s="32">
        <v>1</v>
      </c>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v>2</v>
      </c>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v>1</v>
      </c>
      <c r="CY59" s="32"/>
      <c r="CZ59" s="32"/>
      <c r="DA59" s="32"/>
      <c r="DB59" s="32"/>
      <c r="DC59" s="32"/>
      <c r="DD59" s="32"/>
      <c r="DE59" s="32"/>
      <c r="DF59" s="32"/>
      <c r="DG59" s="32"/>
      <c r="DH59" s="32"/>
      <c r="DI59" s="32"/>
      <c r="DJ59" s="32"/>
      <c r="DK59" s="32">
        <v>8</v>
      </c>
      <c r="DL59" s="32">
        <v>1</v>
      </c>
      <c r="DM59" s="32"/>
      <c r="DN59" s="32"/>
      <c r="DO59" s="32"/>
      <c r="DP59" s="32"/>
      <c r="DQ59" s="32"/>
      <c r="DR59" s="32"/>
      <c r="DS59" s="32"/>
      <c r="DT59" s="32"/>
      <c r="DU59" s="32"/>
      <c r="DV59" s="32"/>
      <c r="DW59" s="32"/>
      <c r="DX59" s="32"/>
      <c r="DY59" s="32"/>
      <c r="DZ59" s="32"/>
      <c r="EA59" s="32"/>
      <c r="EB59" s="32"/>
      <c r="EC59" s="32">
        <v>4</v>
      </c>
      <c r="ED59" s="32"/>
      <c r="EE59" s="32"/>
      <c r="EF59" s="32"/>
      <c r="EG59" s="32"/>
      <c r="EH59" s="32"/>
      <c r="EI59" s="32"/>
      <c r="EJ59" s="32"/>
      <c r="EK59" s="32"/>
      <c r="EL59" s="32"/>
      <c r="EM59" s="32"/>
      <c r="EN59" s="32">
        <v>30</v>
      </c>
    </row>
    <row r="60" spans="1:144" x14ac:dyDescent="0.25">
      <c r="A60" s="31" t="s">
        <v>603</v>
      </c>
      <c r="B60" s="32"/>
      <c r="C60" s="32"/>
      <c r="D60" s="32"/>
      <c r="E60" s="32"/>
      <c r="F60" s="32">
        <v>1</v>
      </c>
      <c r="G60" s="32"/>
      <c r="H60" s="32"/>
      <c r="I60" s="32"/>
      <c r="J60" s="32"/>
      <c r="K60" s="32">
        <v>1</v>
      </c>
      <c r="L60" s="32"/>
      <c r="M60" s="32"/>
      <c r="N60" s="32"/>
      <c r="O60" s="32"/>
      <c r="P60" s="32"/>
      <c r="Q60" s="32"/>
      <c r="R60" s="32"/>
      <c r="S60" s="32">
        <v>1</v>
      </c>
      <c r="T60" s="32">
        <v>1</v>
      </c>
      <c r="U60" s="32"/>
      <c r="V60" s="32">
        <v>2</v>
      </c>
      <c r="W60" s="32"/>
      <c r="X60" s="32"/>
      <c r="Y60" s="32"/>
      <c r="Z60" s="32"/>
      <c r="AA60" s="32"/>
      <c r="AB60" s="32"/>
      <c r="AC60" s="32"/>
      <c r="AD60" s="32">
        <v>1</v>
      </c>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v>1</v>
      </c>
      <c r="BE60" s="32">
        <v>3</v>
      </c>
      <c r="BF60" s="32"/>
      <c r="BG60" s="32"/>
      <c r="BH60" s="32"/>
      <c r="BI60" s="32">
        <v>4</v>
      </c>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v>2</v>
      </c>
      <c r="CZ60" s="32">
        <v>2</v>
      </c>
      <c r="DA60" s="32"/>
      <c r="DB60" s="32"/>
      <c r="DC60" s="32"/>
      <c r="DD60" s="32"/>
      <c r="DE60" s="32"/>
      <c r="DF60" s="32">
        <v>7</v>
      </c>
      <c r="DG60" s="32"/>
      <c r="DH60" s="32"/>
      <c r="DI60" s="32">
        <v>2</v>
      </c>
      <c r="DJ60" s="32">
        <v>1</v>
      </c>
      <c r="DK60" s="32"/>
      <c r="DL60" s="32">
        <v>3</v>
      </c>
      <c r="DM60" s="32"/>
      <c r="DN60" s="32"/>
      <c r="DO60" s="32">
        <v>2</v>
      </c>
      <c r="DP60" s="32"/>
      <c r="DQ60" s="32"/>
      <c r="DR60" s="32"/>
      <c r="DS60" s="32"/>
      <c r="DT60" s="32"/>
      <c r="DU60" s="32"/>
      <c r="DV60" s="32"/>
      <c r="DW60" s="32"/>
      <c r="DX60" s="32"/>
      <c r="DY60" s="32"/>
      <c r="DZ60" s="32"/>
      <c r="EA60" s="32">
        <v>12</v>
      </c>
      <c r="EB60" s="32"/>
      <c r="EC60" s="32">
        <v>2</v>
      </c>
      <c r="ED60" s="32"/>
      <c r="EE60" s="32"/>
      <c r="EF60" s="32"/>
      <c r="EG60" s="32"/>
      <c r="EH60" s="32"/>
      <c r="EI60" s="32"/>
      <c r="EJ60" s="32"/>
      <c r="EK60" s="32"/>
      <c r="EL60" s="32"/>
      <c r="EM60" s="32"/>
      <c r="EN60" s="32">
        <v>48</v>
      </c>
    </row>
    <row r="61" spans="1:144" x14ac:dyDescent="0.25">
      <c r="A61" s="31" t="s">
        <v>3394</v>
      </c>
      <c r="B61" s="32"/>
      <c r="C61" s="32"/>
      <c r="D61" s="32"/>
      <c r="E61" s="32"/>
      <c r="F61" s="32"/>
      <c r="G61" s="32"/>
      <c r="H61" s="32"/>
      <c r="I61" s="32"/>
      <c r="J61" s="32"/>
      <c r="K61" s="32"/>
      <c r="L61" s="32"/>
      <c r="M61" s="32"/>
      <c r="N61" s="32"/>
      <c r="O61" s="32"/>
      <c r="P61" s="32"/>
      <c r="Q61" s="32"/>
      <c r="R61" s="32"/>
      <c r="S61" s="32"/>
      <c r="T61" s="32"/>
      <c r="U61" s="32"/>
      <c r="V61" s="32">
        <v>1</v>
      </c>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v>3</v>
      </c>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v>4</v>
      </c>
    </row>
    <row r="62" spans="1:144" x14ac:dyDescent="0.25">
      <c r="A62" s="31" t="s">
        <v>1573</v>
      </c>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c r="DA62" s="32"/>
      <c r="DB62" s="32"/>
      <c r="DC62" s="32"/>
      <c r="DD62" s="32"/>
      <c r="DE62" s="32"/>
      <c r="DF62" s="32"/>
      <c r="DG62" s="32"/>
      <c r="DH62" s="32"/>
      <c r="DI62" s="32"/>
      <c r="DJ62" s="32"/>
      <c r="DK62" s="32"/>
      <c r="DL62" s="32"/>
      <c r="DM62" s="32"/>
      <c r="DN62" s="32"/>
      <c r="DO62" s="32"/>
      <c r="DP62" s="32"/>
      <c r="DQ62" s="32"/>
      <c r="DR62" s="32"/>
      <c r="DS62" s="32"/>
      <c r="DT62" s="32"/>
      <c r="DU62" s="32"/>
      <c r="DV62" s="32"/>
      <c r="DW62" s="32"/>
      <c r="DX62" s="32"/>
      <c r="DY62" s="32"/>
      <c r="DZ62" s="32"/>
      <c r="EA62" s="32"/>
      <c r="EB62" s="32"/>
      <c r="EC62" s="32"/>
      <c r="ED62" s="32"/>
      <c r="EE62" s="32"/>
      <c r="EF62" s="32"/>
      <c r="EG62" s="32"/>
      <c r="EH62" s="32"/>
      <c r="EI62" s="32">
        <v>1</v>
      </c>
      <c r="EJ62" s="32"/>
      <c r="EK62" s="32"/>
      <c r="EL62" s="32"/>
      <c r="EM62" s="32"/>
      <c r="EN62" s="32">
        <v>1</v>
      </c>
    </row>
    <row r="63" spans="1:144" x14ac:dyDescent="0.25">
      <c r="A63" s="31" t="s">
        <v>3313</v>
      </c>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2"/>
      <c r="CC63" s="32"/>
      <c r="CD63" s="32"/>
      <c r="CE63" s="32"/>
      <c r="CF63" s="32"/>
      <c r="CG63" s="32"/>
      <c r="CH63" s="32"/>
      <c r="CI63" s="32"/>
      <c r="CJ63" s="32"/>
      <c r="CK63" s="32"/>
      <c r="CL63" s="32"/>
      <c r="CM63" s="32"/>
      <c r="CN63" s="32"/>
      <c r="CO63" s="32"/>
      <c r="CP63" s="32"/>
      <c r="CQ63" s="32"/>
      <c r="CR63" s="32"/>
      <c r="CS63" s="32"/>
      <c r="CT63" s="32"/>
      <c r="CU63" s="32"/>
      <c r="CV63" s="32"/>
      <c r="CW63" s="32"/>
      <c r="CX63" s="32"/>
      <c r="CY63" s="32"/>
      <c r="CZ63" s="32"/>
      <c r="DA63" s="32"/>
      <c r="DB63" s="32"/>
      <c r="DC63" s="32"/>
      <c r="DD63" s="32"/>
      <c r="DE63" s="32"/>
      <c r="DF63" s="32"/>
      <c r="DG63" s="32"/>
      <c r="DH63" s="32"/>
      <c r="DI63" s="32"/>
      <c r="DJ63" s="32"/>
      <c r="DK63" s="32"/>
      <c r="DL63" s="32">
        <v>1</v>
      </c>
      <c r="DM63" s="32"/>
      <c r="DN63" s="32"/>
      <c r="DO63" s="32"/>
      <c r="DP63" s="32"/>
      <c r="DQ63" s="32"/>
      <c r="DR63" s="32"/>
      <c r="DS63" s="32"/>
      <c r="DT63" s="32"/>
      <c r="DU63" s="32"/>
      <c r="DV63" s="32"/>
      <c r="DW63" s="32"/>
      <c r="DX63" s="32">
        <v>1</v>
      </c>
      <c r="DY63" s="32"/>
      <c r="DZ63" s="32"/>
      <c r="EA63" s="32"/>
      <c r="EB63" s="32"/>
      <c r="EC63" s="32"/>
      <c r="ED63" s="32"/>
      <c r="EE63" s="32"/>
      <c r="EF63" s="32"/>
      <c r="EG63" s="32"/>
      <c r="EH63" s="32"/>
      <c r="EI63" s="32"/>
      <c r="EJ63" s="32"/>
      <c r="EK63" s="32"/>
      <c r="EL63" s="32"/>
      <c r="EM63" s="32"/>
      <c r="EN63" s="32">
        <v>2</v>
      </c>
    </row>
    <row r="64" spans="1:144" x14ac:dyDescent="0.25">
      <c r="A64" s="31" t="s">
        <v>984</v>
      </c>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v>1</v>
      </c>
      <c r="BF64" s="32"/>
      <c r="BG64" s="32"/>
      <c r="BH64" s="32"/>
      <c r="BI64" s="32"/>
      <c r="BJ64" s="32"/>
      <c r="BK64" s="32"/>
      <c r="BL64" s="32"/>
      <c r="BM64" s="32"/>
      <c r="BN64" s="32"/>
      <c r="BO64" s="32"/>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v>1</v>
      </c>
      <c r="CY64" s="32"/>
      <c r="CZ64" s="32"/>
      <c r="DA64" s="32"/>
      <c r="DB64" s="32"/>
      <c r="DC64" s="32"/>
      <c r="DD64" s="32"/>
      <c r="DE64" s="32"/>
      <c r="DF64" s="32"/>
      <c r="DG64" s="32"/>
      <c r="DH64" s="32"/>
      <c r="DI64" s="32"/>
      <c r="DJ64" s="32"/>
      <c r="DK64" s="32"/>
      <c r="DL64" s="32"/>
      <c r="DM64" s="32"/>
      <c r="DN64" s="32"/>
      <c r="DO64" s="32">
        <v>1</v>
      </c>
      <c r="DP64" s="32"/>
      <c r="DQ64" s="32"/>
      <c r="DR64" s="32"/>
      <c r="DS64" s="32"/>
      <c r="DT64" s="32"/>
      <c r="DU64" s="32"/>
      <c r="DV64" s="32"/>
      <c r="DW64" s="32"/>
      <c r="DX64" s="32"/>
      <c r="DY64" s="32"/>
      <c r="DZ64" s="32"/>
      <c r="EA64" s="32"/>
      <c r="EB64" s="32"/>
      <c r="EC64" s="32"/>
      <c r="ED64" s="32"/>
      <c r="EE64" s="32"/>
      <c r="EF64" s="32"/>
      <c r="EG64" s="32"/>
      <c r="EH64" s="32"/>
      <c r="EI64" s="32"/>
      <c r="EJ64" s="32"/>
      <c r="EK64" s="32"/>
      <c r="EL64" s="32"/>
      <c r="EM64" s="32"/>
      <c r="EN64" s="32">
        <v>3</v>
      </c>
    </row>
    <row r="65" spans="1:144" x14ac:dyDescent="0.25">
      <c r="A65" s="31" t="s">
        <v>58</v>
      </c>
      <c r="B65" s="32"/>
      <c r="C65" s="32"/>
      <c r="D65" s="32"/>
      <c r="E65" s="32"/>
      <c r="F65" s="32"/>
      <c r="G65" s="32"/>
      <c r="H65" s="32"/>
      <c r="I65" s="32"/>
      <c r="J65" s="32"/>
      <c r="K65" s="32"/>
      <c r="L65" s="32"/>
      <c r="M65" s="32"/>
      <c r="N65" s="32"/>
      <c r="O65" s="32"/>
      <c r="P65" s="32"/>
      <c r="Q65" s="32"/>
      <c r="R65" s="32"/>
      <c r="S65" s="32">
        <v>1</v>
      </c>
      <c r="T65" s="32"/>
      <c r="U65" s="32"/>
      <c r="V65" s="32">
        <v>1</v>
      </c>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v>1</v>
      </c>
      <c r="CY65" s="32"/>
      <c r="CZ65" s="32"/>
      <c r="DA65" s="32"/>
      <c r="DB65" s="32"/>
      <c r="DC65" s="32"/>
      <c r="DD65" s="32"/>
      <c r="DE65" s="32"/>
      <c r="DF65" s="32">
        <v>1</v>
      </c>
      <c r="DG65" s="32"/>
      <c r="DH65" s="32"/>
      <c r="DI65" s="32"/>
      <c r="DJ65" s="32"/>
      <c r="DK65" s="32">
        <v>1</v>
      </c>
      <c r="DL65" s="32"/>
      <c r="DM65" s="32"/>
      <c r="DN65" s="32"/>
      <c r="DO65" s="32">
        <v>1</v>
      </c>
      <c r="DP65" s="32"/>
      <c r="DQ65" s="32"/>
      <c r="DR65" s="32"/>
      <c r="DS65" s="32"/>
      <c r="DT65" s="32"/>
      <c r="DU65" s="32"/>
      <c r="DV65" s="32"/>
      <c r="DW65" s="32"/>
      <c r="DX65" s="32"/>
      <c r="DY65" s="32"/>
      <c r="DZ65" s="32"/>
      <c r="EA65" s="32"/>
      <c r="EB65" s="32"/>
      <c r="EC65" s="32"/>
      <c r="ED65" s="32"/>
      <c r="EE65" s="32"/>
      <c r="EF65" s="32"/>
      <c r="EG65" s="32"/>
      <c r="EH65" s="32"/>
      <c r="EI65" s="32"/>
      <c r="EJ65" s="32"/>
      <c r="EK65" s="32"/>
      <c r="EL65" s="32"/>
      <c r="EM65" s="32"/>
      <c r="EN65" s="32">
        <v>6</v>
      </c>
    </row>
    <row r="66" spans="1:144" x14ac:dyDescent="0.25">
      <c r="A66" s="31" t="s">
        <v>1149</v>
      </c>
      <c r="B66" s="32"/>
      <c r="C66" s="32"/>
      <c r="D66" s="32"/>
      <c r="E66" s="32"/>
      <c r="F66" s="32"/>
      <c r="G66" s="32"/>
      <c r="H66" s="32"/>
      <c r="I66" s="32"/>
      <c r="J66" s="32"/>
      <c r="K66" s="32"/>
      <c r="L66" s="32"/>
      <c r="M66" s="32"/>
      <c r="N66" s="32"/>
      <c r="O66" s="32"/>
      <c r="P66" s="32"/>
      <c r="Q66" s="32"/>
      <c r="R66" s="32"/>
      <c r="S66" s="32">
        <v>1</v>
      </c>
      <c r="T66" s="32"/>
      <c r="U66" s="32"/>
      <c r="V66" s="32"/>
      <c r="W66" s="32"/>
      <c r="X66" s="32"/>
      <c r="Y66" s="32"/>
      <c r="Z66" s="32"/>
      <c r="AA66" s="32"/>
      <c r="AB66" s="32"/>
      <c r="AC66" s="32">
        <v>1</v>
      </c>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c r="CG66" s="32"/>
      <c r="CH66" s="32"/>
      <c r="CI66" s="32"/>
      <c r="CJ66" s="32"/>
      <c r="CK66" s="32"/>
      <c r="CL66" s="32"/>
      <c r="CM66" s="32"/>
      <c r="CN66" s="32"/>
      <c r="CO66" s="32"/>
      <c r="CP66" s="32"/>
      <c r="CQ66" s="32"/>
      <c r="CR66" s="32"/>
      <c r="CS66" s="32"/>
      <c r="CT66" s="32"/>
      <c r="CU66" s="32"/>
      <c r="CV66" s="32"/>
      <c r="CW66" s="32"/>
      <c r="CX66" s="32">
        <v>3</v>
      </c>
      <c r="CY66" s="32"/>
      <c r="CZ66" s="32"/>
      <c r="DA66" s="32"/>
      <c r="DB66" s="32"/>
      <c r="DC66" s="32"/>
      <c r="DD66" s="32"/>
      <c r="DE66" s="32"/>
      <c r="DF66" s="32"/>
      <c r="DG66" s="32"/>
      <c r="DH66" s="32"/>
      <c r="DI66" s="32"/>
      <c r="DJ66" s="32"/>
      <c r="DK66" s="32"/>
      <c r="DL66" s="32">
        <v>1</v>
      </c>
      <c r="DM66" s="32"/>
      <c r="DN66" s="32"/>
      <c r="DO66" s="32"/>
      <c r="DP66" s="32"/>
      <c r="DQ66" s="32"/>
      <c r="DR66" s="32"/>
      <c r="DS66" s="32"/>
      <c r="DT66" s="32"/>
      <c r="DU66" s="32"/>
      <c r="DV66" s="32"/>
      <c r="DW66" s="32"/>
      <c r="DX66" s="32">
        <v>1</v>
      </c>
      <c r="DY66" s="32"/>
      <c r="DZ66" s="32"/>
      <c r="EA66" s="32"/>
      <c r="EB66" s="32">
        <v>1</v>
      </c>
      <c r="EC66" s="32"/>
      <c r="ED66" s="32"/>
      <c r="EE66" s="32"/>
      <c r="EF66" s="32"/>
      <c r="EG66" s="32"/>
      <c r="EH66" s="32"/>
      <c r="EI66" s="32"/>
      <c r="EJ66" s="32"/>
      <c r="EK66" s="32"/>
      <c r="EL66" s="32"/>
      <c r="EM66" s="32"/>
      <c r="EN66" s="32">
        <v>8</v>
      </c>
    </row>
    <row r="67" spans="1:144" x14ac:dyDescent="0.25">
      <c r="A67" s="31" t="s">
        <v>341</v>
      </c>
      <c r="B67" s="32"/>
      <c r="C67" s="32"/>
      <c r="D67" s="32"/>
      <c r="E67" s="32"/>
      <c r="F67" s="32"/>
      <c r="G67" s="32"/>
      <c r="H67" s="32"/>
      <c r="I67" s="32"/>
      <c r="J67" s="32"/>
      <c r="K67" s="32"/>
      <c r="L67" s="32">
        <v>1</v>
      </c>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v>1</v>
      </c>
      <c r="AS67" s="32"/>
      <c r="AT67" s="32"/>
      <c r="AU67" s="32"/>
      <c r="AV67" s="32"/>
      <c r="AW67" s="32"/>
      <c r="AX67" s="32">
        <v>1</v>
      </c>
      <c r="AY67" s="32"/>
      <c r="AZ67" s="32"/>
      <c r="BA67" s="32"/>
      <c r="BB67" s="32"/>
      <c r="BC67" s="32"/>
      <c r="BD67" s="32"/>
      <c r="BE67" s="32">
        <v>2</v>
      </c>
      <c r="BF67" s="32"/>
      <c r="BG67" s="32"/>
      <c r="BH67" s="32"/>
      <c r="BI67" s="32"/>
      <c r="BJ67" s="32"/>
      <c r="BK67" s="32"/>
      <c r="BL67" s="32"/>
      <c r="BM67" s="32"/>
      <c r="BN67" s="32"/>
      <c r="BO67" s="32"/>
      <c r="BP67" s="32"/>
      <c r="BQ67" s="32"/>
      <c r="BR67" s="32"/>
      <c r="BS67" s="32">
        <v>1</v>
      </c>
      <c r="BT67" s="32"/>
      <c r="BU67" s="32"/>
      <c r="BV67" s="32"/>
      <c r="BW67" s="32"/>
      <c r="BX67" s="32"/>
      <c r="BY67" s="32"/>
      <c r="BZ67" s="32"/>
      <c r="CA67" s="32"/>
      <c r="CB67" s="32"/>
      <c r="CC67" s="32"/>
      <c r="CD67" s="32"/>
      <c r="CE67" s="32"/>
      <c r="CF67" s="32"/>
      <c r="CG67" s="32"/>
      <c r="CH67" s="32"/>
      <c r="CI67" s="32"/>
      <c r="CJ67" s="32"/>
      <c r="CK67" s="32"/>
      <c r="CL67" s="32"/>
      <c r="CM67" s="32"/>
      <c r="CN67" s="32"/>
      <c r="CO67" s="32"/>
      <c r="CP67" s="32"/>
      <c r="CQ67" s="32"/>
      <c r="CR67" s="32"/>
      <c r="CS67" s="32"/>
      <c r="CT67" s="32"/>
      <c r="CU67" s="32"/>
      <c r="CV67" s="32"/>
      <c r="CW67" s="32"/>
      <c r="CX67" s="32"/>
      <c r="CY67" s="32"/>
      <c r="CZ67" s="32"/>
      <c r="DA67" s="32"/>
      <c r="DB67" s="32"/>
      <c r="DC67" s="32"/>
      <c r="DD67" s="32"/>
      <c r="DE67" s="32"/>
      <c r="DF67" s="32"/>
      <c r="DG67" s="32"/>
      <c r="DH67" s="32"/>
      <c r="DI67" s="32"/>
      <c r="DJ67" s="32"/>
      <c r="DK67" s="32"/>
      <c r="DL67" s="32">
        <v>2</v>
      </c>
      <c r="DM67" s="32"/>
      <c r="DN67" s="32"/>
      <c r="DO67" s="32"/>
      <c r="DP67" s="32"/>
      <c r="DQ67" s="32"/>
      <c r="DR67" s="32"/>
      <c r="DS67" s="32"/>
      <c r="DT67" s="32"/>
      <c r="DU67" s="32"/>
      <c r="DV67" s="32"/>
      <c r="DW67" s="32"/>
      <c r="DX67" s="32"/>
      <c r="DY67" s="32"/>
      <c r="DZ67" s="32"/>
      <c r="EA67" s="32"/>
      <c r="EB67" s="32"/>
      <c r="EC67" s="32"/>
      <c r="ED67" s="32"/>
      <c r="EE67" s="32"/>
      <c r="EF67" s="32">
        <v>1</v>
      </c>
      <c r="EG67" s="32"/>
      <c r="EH67" s="32"/>
      <c r="EI67" s="32"/>
      <c r="EJ67" s="32"/>
      <c r="EK67" s="32"/>
      <c r="EL67" s="32"/>
      <c r="EM67" s="32"/>
      <c r="EN67" s="32">
        <v>9</v>
      </c>
    </row>
    <row r="68" spans="1:144" x14ac:dyDescent="0.25">
      <c r="A68" s="31" t="s">
        <v>434</v>
      </c>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v>1</v>
      </c>
      <c r="BJ68" s="32"/>
      <c r="BK68" s="32"/>
      <c r="BL68" s="32"/>
      <c r="BM68" s="32"/>
      <c r="BN68" s="32"/>
      <c r="BO68" s="32"/>
      <c r="BP68" s="32"/>
      <c r="BQ68" s="32"/>
      <c r="BR68" s="32"/>
      <c r="BS68" s="32"/>
      <c r="BT68" s="32"/>
      <c r="BU68" s="32"/>
      <c r="BV68" s="32"/>
      <c r="BW68" s="32"/>
      <c r="BX68" s="32"/>
      <c r="BY68" s="32"/>
      <c r="BZ68" s="32"/>
      <c r="CA68" s="32"/>
      <c r="CB68" s="32"/>
      <c r="CC68" s="32"/>
      <c r="CD68" s="32"/>
      <c r="CE68" s="32"/>
      <c r="CF68" s="32"/>
      <c r="CG68" s="32"/>
      <c r="CH68" s="32"/>
      <c r="CI68" s="32"/>
      <c r="CJ68" s="32"/>
      <c r="CK68" s="32"/>
      <c r="CL68" s="32"/>
      <c r="CM68" s="32"/>
      <c r="CN68" s="32"/>
      <c r="CO68" s="32"/>
      <c r="CP68" s="32"/>
      <c r="CQ68" s="32"/>
      <c r="CR68" s="32"/>
      <c r="CS68" s="32"/>
      <c r="CT68" s="32"/>
      <c r="CU68" s="32"/>
      <c r="CV68" s="32"/>
      <c r="CW68" s="32"/>
      <c r="CX68" s="32"/>
      <c r="CY68" s="32"/>
      <c r="CZ68" s="32"/>
      <c r="DA68" s="32"/>
      <c r="DB68" s="32"/>
      <c r="DC68" s="32"/>
      <c r="DD68" s="32"/>
      <c r="DE68" s="32"/>
      <c r="DF68" s="32"/>
      <c r="DG68" s="32"/>
      <c r="DH68" s="32"/>
      <c r="DI68" s="32"/>
      <c r="DJ68" s="32"/>
      <c r="DK68" s="32"/>
      <c r="DL68" s="32"/>
      <c r="DM68" s="32"/>
      <c r="DN68" s="32"/>
      <c r="DO68" s="32"/>
      <c r="DP68" s="32"/>
      <c r="DQ68" s="32"/>
      <c r="DR68" s="32"/>
      <c r="DS68" s="32"/>
      <c r="DT68" s="32"/>
      <c r="DU68" s="32"/>
      <c r="DV68" s="32"/>
      <c r="DW68" s="32"/>
      <c r="DX68" s="32"/>
      <c r="DY68" s="32"/>
      <c r="DZ68" s="32"/>
      <c r="EA68" s="32"/>
      <c r="EB68" s="32"/>
      <c r="EC68" s="32"/>
      <c r="ED68" s="32">
        <v>1</v>
      </c>
      <c r="EE68" s="32"/>
      <c r="EF68" s="32"/>
      <c r="EG68" s="32"/>
      <c r="EH68" s="32"/>
      <c r="EI68" s="32"/>
      <c r="EJ68" s="32"/>
      <c r="EK68" s="32"/>
      <c r="EL68" s="32"/>
      <c r="EM68" s="32"/>
      <c r="EN68" s="32">
        <v>2</v>
      </c>
    </row>
    <row r="69" spans="1:144" x14ac:dyDescent="0.25">
      <c r="A69" s="31" t="s">
        <v>3603</v>
      </c>
      <c r="B69" s="32"/>
      <c r="C69" s="32"/>
      <c r="D69" s="32"/>
      <c r="E69" s="32"/>
      <c r="F69" s="32"/>
      <c r="G69" s="32"/>
      <c r="H69" s="32"/>
      <c r="I69" s="32"/>
      <c r="J69" s="32"/>
      <c r="K69" s="32"/>
      <c r="L69" s="32"/>
      <c r="M69" s="32"/>
      <c r="N69" s="32">
        <v>1</v>
      </c>
      <c r="O69" s="32"/>
      <c r="P69" s="32"/>
      <c r="Q69" s="32"/>
      <c r="R69" s="32"/>
      <c r="S69" s="32"/>
      <c r="T69" s="32"/>
      <c r="U69" s="32"/>
      <c r="V69" s="32">
        <v>4</v>
      </c>
      <c r="W69" s="32">
        <v>1</v>
      </c>
      <c r="X69" s="32"/>
      <c r="Y69" s="32"/>
      <c r="Z69" s="32">
        <v>1</v>
      </c>
      <c r="AA69" s="32">
        <v>4</v>
      </c>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v>2</v>
      </c>
      <c r="BE69" s="32">
        <v>1</v>
      </c>
      <c r="BF69" s="32"/>
      <c r="BG69" s="32"/>
      <c r="BH69" s="32">
        <v>1</v>
      </c>
      <c r="BI69" s="32">
        <v>3</v>
      </c>
      <c r="BJ69" s="32"/>
      <c r="BK69" s="32"/>
      <c r="BL69" s="32"/>
      <c r="BM69" s="32"/>
      <c r="BN69" s="32">
        <v>3</v>
      </c>
      <c r="BO69" s="32">
        <v>1</v>
      </c>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v>9</v>
      </c>
      <c r="CY69" s="32"/>
      <c r="CZ69" s="32"/>
      <c r="DA69" s="32"/>
      <c r="DB69" s="32"/>
      <c r="DC69" s="32"/>
      <c r="DD69" s="32"/>
      <c r="DE69" s="32"/>
      <c r="DF69" s="32">
        <v>8</v>
      </c>
      <c r="DG69" s="32"/>
      <c r="DH69" s="32">
        <v>1</v>
      </c>
      <c r="DI69" s="32">
        <v>1</v>
      </c>
      <c r="DJ69" s="32">
        <v>2</v>
      </c>
      <c r="DK69" s="32"/>
      <c r="DL69" s="32"/>
      <c r="DM69" s="32"/>
      <c r="DN69" s="32"/>
      <c r="DO69" s="32">
        <v>12</v>
      </c>
      <c r="DP69" s="32"/>
      <c r="DQ69" s="32"/>
      <c r="DR69" s="32"/>
      <c r="DS69" s="32"/>
      <c r="DT69" s="32">
        <v>1</v>
      </c>
      <c r="DU69" s="32"/>
      <c r="DV69" s="32"/>
      <c r="DW69" s="32"/>
      <c r="DX69" s="32"/>
      <c r="DY69" s="32"/>
      <c r="DZ69" s="32"/>
      <c r="EA69" s="32">
        <v>2</v>
      </c>
      <c r="EB69" s="32"/>
      <c r="EC69" s="32"/>
      <c r="ED69" s="32"/>
      <c r="EE69" s="32"/>
      <c r="EF69" s="32"/>
      <c r="EG69" s="32"/>
      <c r="EH69" s="32"/>
      <c r="EI69" s="32"/>
      <c r="EJ69" s="32"/>
      <c r="EK69" s="32"/>
      <c r="EL69" s="32"/>
      <c r="EM69" s="32"/>
      <c r="EN69" s="32">
        <v>58</v>
      </c>
    </row>
    <row r="70" spans="1:144" x14ac:dyDescent="0.25">
      <c r="A70" s="31" t="s">
        <v>2070</v>
      </c>
      <c r="B70" s="32"/>
      <c r="C70" s="32"/>
      <c r="D70" s="32"/>
      <c r="E70" s="32"/>
      <c r="F70" s="32"/>
      <c r="G70" s="32"/>
      <c r="H70" s="32"/>
      <c r="I70" s="32"/>
      <c r="J70" s="32"/>
      <c r="K70" s="32"/>
      <c r="L70" s="32"/>
      <c r="M70" s="32"/>
      <c r="N70" s="32"/>
      <c r="O70" s="32"/>
      <c r="P70" s="32"/>
      <c r="Q70" s="32"/>
      <c r="R70" s="32"/>
      <c r="S70" s="32">
        <v>3</v>
      </c>
      <c r="T70" s="32"/>
      <c r="U70" s="32"/>
      <c r="V70" s="32"/>
      <c r="W70" s="32"/>
      <c r="X70" s="32"/>
      <c r="Y70" s="32"/>
      <c r="Z70" s="32"/>
      <c r="AA70" s="32">
        <v>1</v>
      </c>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v>5</v>
      </c>
      <c r="BF70" s="32"/>
      <c r="BG70" s="32"/>
      <c r="BH70" s="32"/>
      <c r="BI70" s="32">
        <v>1</v>
      </c>
      <c r="BJ70" s="32"/>
      <c r="BK70" s="32"/>
      <c r="BL70" s="32"/>
      <c r="BM70" s="32"/>
      <c r="BN70" s="32">
        <v>1</v>
      </c>
      <c r="BO70" s="32"/>
      <c r="BP70" s="32"/>
      <c r="BQ70" s="32"/>
      <c r="BR70" s="32"/>
      <c r="BS70" s="32"/>
      <c r="BT70" s="32"/>
      <c r="BU70" s="32"/>
      <c r="BV70" s="32"/>
      <c r="BW70" s="32"/>
      <c r="BX70" s="32"/>
      <c r="BY70" s="32"/>
      <c r="BZ70" s="32"/>
      <c r="CA70" s="32"/>
      <c r="CB70" s="32"/>
      <c r="CC70" s="32"/>
      <c r="CD70" s="32"/>
      <c r="CE70" s="32"/>
      <c r="CF70" s="32">
        <v>1</v>
      </c>
      <c r="CG70" s="32"/>
      <c r="CH70" s="32"/>
      <c r="CI70" s="32"/>
      <c r="CJ70" s="32"/>
      <c r="CK70" s="32"/>
      <c r="CL70" s="32"/>
      <c r="CM70" s="32"/>
      <c r="CN70" s="32"/>
      <c r="CO70" s="32"/>
      <c r="CP70" s="32"/>
      <c r="CQ70" s="32"/>
      <c r="CR70" s="32"/>
      <c r="CS70" s="32"/>
      <c r="CT70" s="32"/>
      <c r="CU70" s="32"/>
      <c r="CV70" s="32"/>
      <c r="CW70" s="32"/>
      <c r="CX70" s="32"/>
      <c r="CY70" s="32">
        <v>1</v>
      </c>
      <c r="CZ70" s="32"/>
      <c r="DA70" s="32"/>
      <c r="DB70" s="32"/>
      <c r="DC70" s="32"/>
      <c r="DD70" s="32">
        <v>1</v>
      </c>
      <c r="DE70" s="32"/>
      <c r="DF70" s="32">
        <v>1</v>
      </c>
      <c r="DG70" s="32"/>
      <c r="DH70" s="32"/>
      <c r="DI70" s="32"/>
      <c r="DJ70" s="32"/>
      <c r="DK70" s="32"/>
      <c r="DL70" s="32">
        <v>1</v>
      </c>
      <c r="DM70" s="32"/>
      <c r="DN70" s="32"/>
      <c r="DO70" s="32">
        <v>4</v>
      </c>
      <c r="DP70" s="32"/>
      <c r="DQ70" s="32"/>
      <c r="DR70" s="32"/>
      <c r="DS70" s="32">
        <v>1</v>
      </c>
      <c r="DT70" s="32"/>
      <c r="DU70" s="32"/>
      <c r="DV70" s="32"/>
      <c r="DW70" s="32"/>
      <c r="DX70" s="32">
        <v>2</v>
      </c>
      <c r="DY70" s="32"/>
      <c r="DZ70" s="32"/>
      <c r="EA70" s="32">
        <v>1</v>
      </c>
      <c r="EB70" s="32"/>
      <c r="EC70" s="32">
        <v>1</v>
      </c>
      <c r="ED70" s="32"/>
      <c r="EE70" s="32"/>
      <c r="EF70" s="32"/>
      <c r="EG70" s="32"/>
      <c r="EH70" s="32"/>
      <c r="EI70" s="32"/>
      <c r="EJ70" s="32"/>
      <c r="EK70" s="32"/>
      <c r="EL70" s="32"/>
      <c r="EM70" s="32"/>
      <c r="EN70" s="32">
        <v>25</v>
      </c>
    </row>
    <row r="71" spans="1:144" x14ac:dyDescent="0.25">
      <c r="A71" s="31" t="s">
        <v>33</v>
      </c>
      <c r="B71" s="32"/>
      <c r="C71" s="32"/>
      <c r="D71" s="32"/>
      <c r="E71" s="32"/>
      <c r="F71" s="32"/>
      <c r="G71" s="32"/>
      <c r="H71" s="32"/>
      <c r="I71" s="32"/>
      <c r="J71" s="32"/>
      <c r="K71" s="32"/>
      <c r="L71" s="32"/>
      <c r="M71" s="32"/>
      <c r="N71" s="32"/>
      <c r="O71" s="32"/>
      <c r="P71" s="32"/>
      <c r="Q71" s="32"/>
      <c r="R71" s="32"/>
      <c r="S71" s="32"/>
      <c r="T71" s="32"/>
      <c r="U71" s="32"/>
      <c r="V71" s="32">
        <v>1</v>
      </c>
      <c r="W71" s="32"/>
      <c r="X71" s="32"/>
      <c r="Y71" s="32">
        <v>1</v>
      </c>
      <c r="Z71" s="32"/>
      <c r="AA71" s="32"/>
      <c r="AB71" s="32">
        <v>1</v>
      </c>
      <c r="AC71" s="32"/>
      <c r="AD71" s="32"/>
      <c r="AE71" s="32"/>
      <c r="AF71" s="32"/>
      <c r="AG71" s="32"/>
      <c r="AH71" s="32"/>
      <c r="AI71" s="32"/>
      <c r="AJ71" s="32"/>
      <c r="AK71" s="32"/>
      <c r="AL71" s="32">
        <v>1</v>
      </c>
      <c r="AM71" s="32"/>
      <c r="AN71" s="32"/>
      <c r="AO71" s="32"/>
      <c r="AP71" s="32"/>
      <c r="AQ71" s="32"/>
      <c r="AR71" s="32"/>
      <c r="AS71" s="32"/>
      <c r="AT71" s="32"/>
      <c r="AU71" s="32"/>
      <c r="AV71" s="32"/>
      <c r="AW71" s="32"/>
      <c r="AX71" s="32"/>
      <c r="AY71" s="32"/>
      <c r="AZ71" s="32"/>
      <c r="BA71" s="32"/>
      <c r="BB71" s="32">
        <v>1</v>
      </c>
      <c r="BC71" s="32"/>
      <c r="BD71" s="32"/>
      <c r="BE71" s="32"/>
      <c r="BF71" s="32"/>
      <c r="BG71" s="32"/>
      <c r="BH71" s="32"/>
      <c r="BI71" s="32">
        <v>1</v>
      </c>
      <c r="BJ71" s="32"/>
      <c r="BK71" s="32"/>
      <c r="BL71" s="32"/>
      <c r="BM71" s="32"/>
      <c r="BN71" s="32">
        <v>1</v>
      </c>
      <c r="BO71" s="32"/>
      <c r="BP71" s="32"/>
      <c r="BQ71" s="32"/>
      <c r="BR71" s="32"/>
      <c r="BS71" s="32"/>
      <c r="BT71" s="32"/>
      <c r="BU71" s="32"/>
      <c r="BV71" s="32"/>
      <c r="BW71" s="32"/>
      <c r="BX71" s="32"/>
      <c r="BY71" s="32"/>
      <c r="BZ71" s="32"/>
      <c r="CA71" s="32"/>
      <c r="CB71" s="32">
        <v>2</v>
      </c>
      <c r="CC71" s="32"/>
      <c r="CD71" s="32">
        <v>1</v>
      </c>
      <c r="CE71" s="32"/>
      <c r="CF71" s="32"/>
      <c r="CG71" s="32"/>
      <c r="CH71" s="32"/>
      <c r="CI71" s="32"/>
      <c r="CJ71" s="32"/>
      <c r="CK71" s="32">
        <v>1</v>
      </c>
      <c r="CL71" s="32"/>
      <c r="CM71" s="32"/>
      <c r="CN71" s="32"/>
      <c r="CO71" s="32"/>
      <c r="CP71" s="32"/>
      <c r="CQ71" s="32"/>
      <c r="CR71" s="32"/>
      <c r="CS71" s="32"/>
      <c r="CT71" s="32"/>
      <c r="CU71" s="32"/>
      <c r="CV71" s="32"/>
      <c r="CW71" s="32"/>
      <c r="CX71" s="32">
        <v>1</v>
      </c>
      <c r="CY71" s="32">
        <v>1</v>
      </c>
      <c r="CZ71" s="32">
        <v>1</v>
      </c>
      <c r="DA71" s="32"/>
      <c r="DB71" s="32"/>
      <c r="DC71" s="32">
        <v>1</v>
      </c>
      <c r="DD71" s="32"/>
      <c r="DE71" s="32"/>
      <c r="DF71" s="32"/>
      <c r="DG71" s="32"/>
      <c r="DH71" s="32"/>
      <c r="DI71" s="32">
        <v>1</v>
      </c>
      <c r="DJ71" s="32"/>
      <c r="DK71" s="32"/>
      <c r="DL71" s="32"/>
      <c r="DM71" s="32"/>
      <c r="DN71" s="32"/>
      <c r="DO71" s="32">
        <v>3</v>
      </c>
      <c r="DP71" s="32"/>
      <c r="DQ71" s="32"/>
      <c r="DR71" s="32"/>
      <c r="DS71" s="32"/>
      <c r="DT71" s="32"/>
      <c r="DU71" s="32"/>
      <c r="DV71" s="32"/>
      <c r="DW71" s="32"/>
      <c r="DX71" s="32">
        <v>1</v>
      </c>
      <c r="DY71" s="32"/>
      <c r="DZ71" s="32"/>
      <c r="EA71" s="32"/>
      <c r="EB71" s="32"/>
      <c r="EC71" s="32"/>
      <c r="ED71" s="32"/>
      <c r="EE71" s="32"/>
      <c r="EF71" s="32"/>
      <c r="EG71" s="32"/>
      <c r="EH71" s="32"/>
      <c r="EI71" s="32"/>
      <c r="EJ71" s="32">
        <v>1</v>
      </c>
      <c r="EK71" s="32"/>
      <c r="EL71" s="32"/>
      <c r="EM71" s="32"/>
      <c r="EN71" s="32">
        <v>21</v>
      </c>
    </row>
    <row r="72" spans="1:144" x14ac:dyDescent="0.25">
      <c r="A72" s="31" t="s">
        <v>1723</v>
      </c>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c r="BL72" s="32"/>
      <c r="BM72" s="32"/>
      <c r="BN72" s="32"/>
      <c r="BO72" s="32"/>
      <c r="BP72" s="32"/>
      <c r="BQ72" s="32"/>
      <c r="BR72" s="32"/>
      <c r="BS72" s="32"/>
      <c r="BT72" s="32"/>
      <c r="BU72" s="32"/>
      <c r="BV72" s="32"/>
      <c r="BW72" s="32"/>
      <c r="BX72" s="32"/>
      <c r="BY72" s="32"/>
      <c r="BZ72" s="32"/>
      <c r="CA72" s="32"/>
      <c r="CB72" s="32"/>
      <c r="CC72" s="32"/>
      <c r="CD72" s="32"/>
      <c r="CE72" s="32"/>
      <c r="CF72" s="32"/>
      <c r="CG72" s="32"/>
      <c r="CH72" s="32"/>
      <c r="CI72" s="32"/>
      <c r="CJ72" s="32"/>
      <c r="CK72" s="32"/>
      <c r="CL72" s="32"/>
      <c r="CM72" s="32"/>
      <c r="CN72" s="32"/>
      <c r="CO72" s="32"/>
      <c r="CP72" s="32"/>
      <c r="CQ72" s="32"/>
      <c r="CR72" s="32"/>
      <c r="CS72" s="32"/>
      <c r="CT72" s="32"/>
      <c r="CU72" s="32"/>
      <c r="CV72" s="32"/>
      <c r="CW72" s="32"/>
      <c r="CX72" s="32"/>
      <c r="CY72" s="32"/>
      <c r="CZ72" s="32"/>
      <c r="DA72" s="32"/>
      <c r="DB72" s="32"/>
      <c r="DC72" s="32"/>
      <c r="DD72" s="32"/>
      <c r="DE72" s="32"/>
      <c r="DF72" s="32"/>
      <c r="DG72" s="32"/>
      <c r="DH72" s="32"/>
      <c r="DI72" s="32">
        <v>2</v>
      </c>
      <c r="DJ72" s="32"/>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c r="EL72" s="32"/>
      <c r="EM72" s="32"/>
      <c r="EN72" s="32">
        <v>2</v>
      </c>
    </row>
    <row r="73" spans="1:144" x14ac:dyDescent="0.25">
      <c r="A73" s="31" t="s">
        <v>1810</v>
      </c>
      <c r="B73" s="32">
        <v>1</v>
      </c>
      <c r="C73" s="32"/>
      <c r="D73" s="32"/>
      <c r="E73" s="32"/>
      <c r="F73" s="32"/>
      <c r="G73" s="32"/>
      <c r="H73" s="32"/>
      <c r="I73" s="32"/>
      <c r="J73" s="32"/>
      <c r="K73" s="32"/>
      <c r="L73" s="32"/>
      <c r="M73" s="32"/>
      <c r="N73" s="32"/>
      <c r="O73" s="32"/>
      <c r="P73" s="32"/>
      <c r="Q73" s="32"/>
      <c r="R73" s="32"/>
      <c r="S73" s="32">
        <v>1</v>
      </c>
      <c r="T73" s="32"/>
      <c r="U73" s="32"/>
      <c r="V73" s="32">
        <v>6</v>
      </c>
      <c r="W73" s="32"/>
      <c r="X73" s="32"/>
      <c r="Y73" s="32"/>
      <c r="Z73" s="32">
        <v>1</v>
      </c>
      <c r="AA73" s="32">
        <v>6</v>
      </c>
      <c r="AB73" s="32"/>
      <c r="AC73" s="32"/>
      <c r="AD73" s="32"/>
      <c r="AE73" s="32"/>
      <c r="AF73" s="32"/>
      <c r="AG73" s="32"/>
      <c r="AH73" s="32">
        <v>1</v>
      </c>
      <c r="AI73" s="32"/>
      <c r="AJ73" s="32"/>
      <c r="AK73" s="32"/>
      <c r="AL73" s="32"/>
      <c r="AM73" s="32"/>
      <c r="AN73" s="32"/>
      <c r="AO73" s="32"/>
      <c r="AP73" s="32"/>
      <c r="AQ73" s="32"/>
      <c r="AR73" s="32"/>
      <c r="AS73" s="32">
        <v>1</v>
      </c>
      <c r="AT73" s="32">
        <v>1</v>
      </c>
      <c r="AU73" s="32"/>
      <c r="AV73" s="32"/>
      <c r="AW73" s="32"/>
      <c r="AX73" s="32"/>
      <c r="AY73" s="32">
        <v>1</v>
      </c>
      <c r="AZ73" s="32"/>
      <c r="BA73" s="32"/>
      <c r="BB73" s="32"/>
      <c r="BC73" s="32">
        <v>1</v>
      </c>
      <c r="BD73" s="32">
        <v>2</v>
      </c>
      <c r="BE73" s="32">
        <v>10</v>
      </c>
      <c r="BF73" s="32"/>
      <c r="BG73" s="32"/>
      <c r="BH73" s="32">
        <v>1</v>
      </c>
      <c r="BI73" s="32">
        <v>10</v>
      </c>
      <c r="BJ73" s="32"/>
      <c r="BK73" s="32"/>
      <c r="BL73" s="32"/>
      <c r="BM73" s="32">
        <v>1</v>
      </c>
      <c r="BN73" s="32">
        <v>3</v>
      </c>
      <c r="BO73" s="32"/>
      <c r="BP73" s="32">
        <v>1</v>
      </c>
      <c r="BQ73" s="32">
        <v>1</v>
      </c>
      <c r="BR73" s="32"/>
      <c r="BS73" s="32"/>
      <c r="BT73" s="32"/>
      <c r="BU73" s="32">
        <v>1</v>
      </c>
      <c r="BV73" s="32"/>
      <c r="BW73" s="32">
        <v>1</v>
      </c>
      <c r="BX73" s="32"/>
      <c r="BY73" s="32"/>
      <c r="BZ73" s="32">
        <v>2</v>
      </c>
      <c r="CA73" s="32">
        <v>1</v>
      </c>
      <c r="CB73" s="32"/>
      <c r="CC73" s="32">
        <v>1</v>
      </c>
      <c r="CD73" s="32">
        <v>1</v>
      </c>
      <c r="CE73" s="32">
        <v>1</v>
      </c>
      <c r="CF73" s="32">
        <v>1</v>
      </c>
      <c r="CG73" s="32">
        <v>4</v>
      </c>
      <c r="CH73" s="32">
        <v>7</v>
      </c>
      <c r="CI73" s="32">
        <v>11</v>
      </c>
      <c r="CJ73" s="32">
        <v>2</v>
      </c>
      <c r="CK73" s="32"/>
      <c r="CL73" s="32"/>
      <c r="CM73" s="32"/>
      <c r="CN73" s="32">
        <v>1</v>
      </c>
      <c r="CO73" s="32"/>
      <c r="CP73" s="32"/>
      <c r="CQ73" s="32"/>
      <c r="CR73" s="32">
        <v>1</v>
      </c>
      <c r="CS73" s="32">
        <v>2</v>
      </c>
      <c r="CT73" s="32"/>
      <c r="CU73" s="32"/>
      <c r="CV73" s="32"/>
      <c r="CW73" s="32"/>
      <c r="CX73" s="32"/>
      <c r="CY73" s="32">
        <v>2</v>
      </c>
      <c r="CZ73" s="32"/>
      <c r="DA73" s="32"/>
      <c r="DB73" s="32"/>
      <c r="DC73" s="32"/>
      <c r="DD73" s="32"/>
      <c r="DE73" s="32"/>
      <c r="DF73" s="32">
        <v>48</v>
      </c>
      <c r="DG73" s="32"/>
      <c r="DH73" s="32"/>
      <c r="DI73" s="32">
        <v>1</v>
      </c>
      <c r="DJ73" s="32">
        <v>1</v>
      </c>
      <c r="DK73" s="32">
        <v>3</v>
      </c>
      <c r="DL73" s="32"/>
      <c r="DM73" s="32">
        <v>1</v>
      </c>
      <c r="DN73" s="32"/>
      <c r="DO73" s="32">
        <v>37</v>
      </c>
      <c r="DP73" s="32"/>
      <c r="DQ73" s="32"/>
      <c r="DR73" s="32">
        <v>1</v>
      </c>
      <c r="DS73" s="32"/>
      <c r="DT73" s="32"/>
      <c r="DU73" s="32">
        <v>1</v>
      </c>
      <c r="DV73" s="32"/>
      <c r="DW73" s="32"/>
      <c r="DX73" s="32"/>
      <c r="DY73" s="32"/>
      <c r="DZ73" s="32"/>
      <c r="EA73" s="32">
        <v>7</v>
      </c>
      <c r="EB73" s="32"/>
      <c r="EC73" s="32"/>
      <c r="ED73" s="32"/>
      <c r="EE73" s="32"/>
      <c r="EF73" s="32"/>
      <c r="EG73" s="32"/>
      <c r="EH73" s="32"/>
      <c r="EI73" s="32"/>
      <c r="EJ73" s="32"/>
      <c r="EK73" s="32"/>
      <c r="EL73" s="32"/>
      <c r="EM73" s="32"/>
      <c r="EN73" s="32">
        <v>188</v>
      </c>
    </row>
    <row r="74" spans="1:144" x14ac:dyDescent="0.25">
      <c r="A74" s="31" t="s">
        <v>1914</v>
      </c>
      <c r="B74" s="32"/>
      <c r="C74" s="32"/>
      <c r="D74" s="32"/>
      <c r="E74" s="32"/>
      <c r="F74" s="32"/>
      <c r="G74" s="32"/>
      <c r="H74" s="32"/>
      <c r="I74" s="32"/>
      <c r="J74" s="32">
        <v>1</v>
      </c>
      <c r="K74" s="32"/>
      <c r="L74" s="32"/>
      <c r="M74" s="32"/>
      <c r="N74" s="32"/>
      <c r="O74" s="32"/>
      <c r="P74" s="32"/>
      <c r="Q74" s="32"/>
      <c r="R74" s="32"/>
      <c r="S74" s="32">
        <v>1</v>
      </c>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v>1</v>
      </c>
      <c r="AV74" s="32">
        <v>2</v>
      </c>
      <c r="AW74" s="32">
        <v>3</v>
      </c>
      <c r="AX74" s="32"/>
      <c r="AY74" s="32"/>
      <c r="AZ74" s="32"/>
      <c r="BA74" s="32"/>
      <c r="BB74" s="32"/>
      <c r="BC74" s="32">
        <v>1</v>
      </c>
      <c r="BD74" s="32"/>
      <c r="BE74" s="32">
        <v>5</v>
      </c>
      <c r="BF74" s="32"/>
      <c r="BG74" s="32"/>
      <c r="BH74" s="32">
        <v>1</v>
      </c>
      <c r="BI74" s="32">
        <v>5</v>
      </c>
      <c r="BJ74" s="32"/>
      <c r="BK74" s="32"/>
      <c r="BL74" s="32"/>
      <c r="BM74" s="32"/>
      <c r="BN74" s="32">
        <v>3</v>
      </c>
      <c r="BO74" s="32"/>
      <c r="BP74" s="32"/>
      <c r="BQ74" s="32">
        <v>2</v>
      </c>
      <c r="BR74" s="32"/>
      <c r="BS74" s="32"/>
      <c r="BT74" s="32"/>
      <c r="BU74" s="32"/>
      <c r="BV74" s="32"/>
      <c r="BW74" s="32"/>
      <c r="BX74" s="32"/>
      <c r="BY74" s="32"/>
      <c r="BZ74" s="32"/>
      <c r="CA74" s="32"/>
      <c r="CB74" s="32">
        <v>1</v>
      </c>
      <c r="CC74" s="32"/>
      <c r="CD74" s="32"/>
      <c r="CE74" s="32"/>
      <c r="CF74" s="32"/>
      <c r="CG74" s="32"/>
      <c r="CH74" s="32"/>
      <c r="CI74" s="32"/>
      <c r="CJ74" s="32"/>
      <c r="CK74" s="32"/>
      <c r="CL74" s="32"/>
      <c r="CM74" s="32"/>
      <c r="CN74" s="32"/>
      <c r="CO74" s="32"/>
      <c r="CP74" s="32"/>
      <c r="CQ74" s="32"/>
      <c r="CR74" s="32"/>
      <c r="CS74" s="32"/>
      <c r="CT74" s="32"/>
      <c r="CU74" s="32"/>
      <c r="CV74" s="32"/>
      <c r="CW74" s="32"/>
      <c r="CX74" s="32">
        <v>1</v>
      </c>
      <c r="CY74" s="32">
        <v>2</v>
      </c>
      <c r="CZ74" s="32"/>
      <c r="DA74" s="32"/>
      <c r="DB74" s="32"/>
      <c r="DC74" s="32"/>
      <c r="DD74" s="32"/>
      <c r="DE74" s="32"/>
      <c r="DF74" s="32">
        <v>3</v>
      </c>
      <c r="DG74" s="32">
        <v>1</v>
      </c>
      <c r="DH74" s="32"/>
      <c r="DI74" s="32">
        <v>5</v>
      </c>
      <c r="DJ74" s="32"/>
      <c r="DK74" s="32">
        <v>1</v>
      </c>
      <c r="DL74" s="32">
        <v>3</v>
      </c>
      <c r="DM74" s="32"/>
      <c r="DN74" s="32"/>
      <c r="DO74" s="32">
        <v>14</v>
      </c>
      <c r="DP74" s="32"/>
      <c r="DQ74" s="32"/>
      <c r="DR74" s="32"/>
      <c r="DS74" s="32"/>
      <c r="DT74" s="32">
        <v>1</v>
      </c>
      <c r="DU74" s="32"/>
      <c r="DV74" s="32"/>
      <c r="DW74" s="32"/>
      <c r="DX74" s="32">
        <v>1</v>
      </c>
      <c r="DY74" s="32"/>
      <c r="DZ74" s="32"/>
      <c r="EA74" s="32">
        <v>4</v>
      </c>
      <c r="EB74" s="32"/>
      <c r="EC74" s="32">
        <v>2</v>
      </c>
      <c r="ED74" s="32"/>
      <c r="EE74" s="32"/>
      <c r="EF74" s="32"/>
      <c r="EG74" s="32"/>
      <c r="EH74" s="32"/>
      <c r="EI74" s="32"/>
      <c r="EJ74" s="32"/>
      <c r="EK74" s="32"/>
      <c r="EL74" s="32"/>
      <c r="EM74" s="32"/>
      <c r="EN74" s="32">
        <v>64</v>
      </c>
    </row>
    <row r="75" spans="1:144" x14ac:dyDescent="0.25">
      <c r="A75" s="31" t="s">
        <v>2081</v>
      </c>
      <c r="B75" s="32"/>
      <c r="C75" s="32"/>
      <c r="D75" s="32"/>
      <c r="E75" s="32"/>
      <c r="F75" s="32"/>
      <c r="G75" s="32"/>
      <c r="H75" s="32"/>
      <c r="I75" s="32"/>
      <c r="J75" s="32"/>
      <c r="K75" s="32"/>
      <c r="L75" s="32"/>
      <c r="M75" s="32"/>
      <c r="N75" s="32"/>
      <c r="O75" s="32"/>
      <c r="P75" s="32"/>
      <c r="Q75" s="32"/>
      <c r="R75" s="32"/>
      <c r="S75" s="32"/>
      <c r="T75" s="32"/>
      <c r="U75" s="32"/>
      <c r="V75" s="32">
        <v>1</v>
      </c>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v>1</v>
      </c>
      <c r="BG75" s="32"/>
      <c r="BH75" s="32"/>
      <c r="BI75" s="32">
        <v>2</v>
      </c>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32"/>
      <c r="CH75" s="32"/>
      <c r="CI75" s="32"/>
      <c r="CJ75" s="32"/>
      <c r="CK75" s="32"/>
      <c r="CL75" s="32">
        <v>1</v>
      </c>
      <c r="CM75" s="32"/>
      <c r="CN75" s="32"/>
      <c r="CO75" s="32"/>
      <c r="CP75" s="32"/>
      <c r="CQ75" s="32"/>
      <c r="CR75" s="32"/>
      <c r="CS75" s="32"/>
      <c r="CT75" s="32"/>
      <c r="CU75" s="32"/>
      <c r="CV75" s="32"/>
      <c r="CW75" s="32"/>
      <c r="CX75" s="32"/>
      <c r="CY75" s="32"/>
      <c r="CZ75" s="32"/>
      <c r="DA75" s="32"/>
      <c r="DB75" s="32"/>
      <c r="DC75" s="32"/>
      <c r="DD75" s="32"/>
      <c r="DE75" s="32"/>
      <c r="DF75" s="32">
        <v>5</v>
      </c>
      <c r="DG75" s="32"/>
      <c r="DH75" s="32"/>
      <c r="DI75" s="32">
        <v>9</v>
      </c>
      <c r="DJ75" s="32"/>
      <c r="DK75" s="32">
        <v>2</v>
      </c>
      <c r="DL75" s="32"/>
      <c r="DM75" s="32"/>
      <c r="DN75" s="32"/>
      <c r="DO75" s="32">
        <v>2</v>
      </c>
      <c r="DP75" s="32"/>
      <c r="DQ75" s="32"/>
      <c r="DR75" s="32"/>
      <c r="DS75" s="32"/>
      <c r="DT75" s="32"/>
      <c r="DU75" s="32"/>
      <c r="DV75" s="32">
        <v>1</v>
      </c>
      <c r="DW75" s="32"/>
      <c r="DX75" s="32"/>
      <c r="DY75" s="32"/>
      <c r="DZ75" s="32"/>
      <c r="EA75" s="32"/>
      <c r="EB75" s="32"/>
      <c r="EC75" s="32"/>
      <c r="ED75" s="32"/>
      <c r="EE75" s="32"/>
      <c r="EF75" s="32"/>
      <c r="EG75" s="32"/>
      <c r="EH75" s="32"/>
      <c r="EI75" s="32"/>
      <c r="EJ75" s="32"/>
      <c r="EK75" s="32"/>
      <c r="EL75" s="32"/>
      <c r="EM75" s="32"/>
      <c r="EN75" s="32">
        <v>24</v>
      </c>
    </row>
    <row r="76" spans="1:144" x14ac:dyDescent="0.25">
      <c r="A76" s="31" t="s">
        <v>2819</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v>1</v>
      </c>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v>1</v>
      </c>
    </row>
    <row r="77" spans="1:144" x14ac:dyDescent="0.25">
      <c r="A77" s="31" t="s">
        <v>2257</v>
      </c>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v>1</v>
      </c>
      <c r="BS77" s="32"/>
      <c r="BT77" s="32"/>
      <c r="BU77" s="32"/>
      <c r="BV77" s="32"/>
      <c r="BW77" s="32"/>
      <c r="BX77" s="32"/>
      <c r="BY77" s="32"/>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v>1</v>
      </c>
    </row>
    <row r="78" spans="1:144" x14ac:dyDescent="0.25">
      <c r="A78" s="31" t="s">
        <v>1791</v>
      </c>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v>1</v>
      </c>
      <c r="BA78" s="32"/>
      <c r="BB78" s="32"/>
      <c r="BC78" s="32"/>
      <c r="BD78" s="32"/>
      <c r="BE78" s="32"/>
      <c r="BF78" s="32"/>
      <c r="BG78" s="32"/>
      <c r="BH78" s="32"/>
      <c r="BI78" s="32"/>
      <c r="BJ78" s="32"/>
      <c r="BK78" s="32"/>
      <c r="BL78" s="32"/>
      <c r="BM78" s="32"/>
      <c r="BN78" s="32"/>
      <c r="BO78" s="32"/>
      <c r="BP78" s="32"/>
      <c r="BQ78" s="32"/>
      <c r="BR78" s="32"/>
      <c r="BS78" s="32"/>
      <c r="BT78" s="32"/>
      <c r="BU78" s="32"/>
      <c r="BV78" s="32"/>
      <c r="BW78" s="32"/>
      <c r="BX78" s="32"/>
      <c r="BY78" s="32"/>
      <c r="BZ78" s="32"/>
      <c r="CA78" s="32"/>
      <c r="CB78" s="32"/>
      <c r="CC78" s="32"/>
      <c r="CD78" s="32"/>
      <c r="CE78" s="32"/>
      <c r="CF78" s="32"/>
      <c r="CG78" s="32"/>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c r="DF78" s="32"/>
      <c r="DG78" s="32"/>
      <c r="DH78" s="32"/>
      <c r="DI78" s="32"/>
      <c r="DJ78" s="32"/>
      <c r="DK78" s="32"/>
      <c r="DL78" s="32"/>
      <c r="DM78" s="32"/>
      <c r="DN78" s="32"/>
      <c r="DO78" s="32"/>
      <c r="DP78" s="32">
        <v>1</v>
      </c>
      <c r="DQ78" s="32">
        <v>1</v>
      </c>
      <c r="DR78" s="32"/>
      <c r="DS78" s="32"/>
      <c r="DT78" s="32"/>
      <c r="DU78" s="32"/>
      <c r="DV78" s="32"/>
      <c r="DW78" s="32"/>
      <c r="DX78" s="32"/>
      <c r="DY78" s="32"/>
      <c r="DZ78" s="32"/>
      <c r="EA78" s="32"/>
      <c r="EB78" s="32"/>
      <c r="EC78" s="32"/>
      <c r="ED78" s="32"/>
      <c r="EE78" s="32"/>
      <c r="EF78" s="32"/>
      <c r="EG78" s="32"/>
      <c r="EH78" s="32"/>
      <c r="EI78" s="32"/>
      <c r="EJ78" s="32"/>
      <c r="EK78" s="32"/>
      <c r="EL78" s="32"/>
      <c r="EM78" s="32"/>
      <c r="EN78" s="32">
        <v>3</v>
      </c>
    </row>
    <row r="79" spans="1:144" x14ac:dyDescent="0.25">
      <c r="A79" s="31" t="s">
        <v>2543</v>
      </c>
      <c r="B79" s="32"/>
      <c r="C79" s="32"/>
      <c r="D79" s="32"/>
      <c r="E79" s="32"/>
      <c r="F79" s="32"/>
      <c r="G79" s="32"/>
      <c r="H79" s="32"/>
      <c r="I79" s="32"/>
      <c r="J79" s="32"/>
      <c r="K79" s="32"/>
      <c r="L79" s="32"/>
      <c r="M79" s="32"/>
      <c r="N79" s="32">
        <v>1</v>
      </c>
      <c r="O79" s="32"/>
      <c r="P79" s="32"/>
      <c r="Q79" s="32"/>
      <c r="R79" s="32"/>
      <c r="S79" s="32"/>
      <c r="T79" s="32"/>
      <c r="U79" s="32"/>
      <c r="V79" s="32"/>
      <c r="W79" s="32"/>
      <c r="X79" s="32"/>
      <c r="Y79" s="32"/>
      <c r="Z79" s="32"/>
      <c r="AA79" s="32"/>
      <c r="AB79" s="32"/>
      <c r="AC79" s="32"/>
      <c r="AD79" s="32"/>
      <c r="AE79" s="32"/>
      <c r="AF79" s="32"/>
      <c r="AG79" s="32"/>
      <c r="AH79" s="32"/>
      <c r="AI79" s="32"/>
      <c r="AJ79" s="32">
        <v>1</v>
      </c>
      <c r="AK79" s="32"/>
      <c r="AL79" s="32"/>
      <c r="AM79" s="32"/>
      <c r="AN79" s="32"/>
      <c r="AO79" s="32"/>
      <c r="AP79" s="32"/>
      <c r="AQ79" s="32"/>
      <c r="AR79" s="32"/>
      <c r="AS79" s="32"/>
      <c r="AT79" s="32"/>
      <c r="AU79" s="32"/>
      <c r="AV79" s="32"/>
      <c r="AW79" s="32"/>
      <c r="AX79" s="32"/>
      <c r="AY79" s="32"/>
      <c r="AZ79" s="32"/>
      <c r="BA79" s="32">
        <v>1</v>
      </c>
      <c r="BB79" s="32"/>
      <c r="BC79" s="32"/>
      <c r="BD79" s="32"/>
      <c r="BE79" s="32"/>
      <c r="BF79" s="32"/>
      <c r="BG79" s="32"/>
      <c r="BH79" s="32"/>
      <c r="BI79" s="32">
        <v>3</v>
      </c>
      <c r="BJ79" s="32"/>
      <c r="BK79" s="32"/>
      <c r="BL79" s="32"/>
      <c r="BM79" s="32"/>
      <c r="BN79" s="32"/>
      <c r="BO79" s="32"/>
      <c r="BP79" s="32"/>
      <c r="BQ79" s="32"/>
      <c r="BR79" s="32"/>
      <c r="BS79" s="32"/>
      <c r="BT79" s="32"/>
      <c r="BU79" s="32"/>
      <c r="BV79" s="32"/>
      <c r="BW79" s="32"/>
      <c r="BX79" s="32"/>
      <c r="BY79" s="32"/>
      <c r="BZ79" s="32"/>
      <c r="CA79" s="32"/>
      <c r="CB79" s="32"/>
      <c r="CC79" s="32"/>
      <c r="CD79" s="32"/>
      <c r="CE79" s="32"/>
      <c r="CF79" s="32"/>
      <c r="CG79" s="32"/>
      <c r="CH79" s="32"/>
      <c r="CI79" s="32"/>
      <c r="CJ79" s="32"/>
      <c r="CK79" s="32"/>
      <c r="CL79" s="32"/>
      <c r="CM79" s="32"/>
      <c r="CN79" s="32"/>
      <c r="CO79" s="32"/>
      <c r="CP79" s="32"/>
      <c r="CQ79" s="32"/>
      <c r="CR79" s="32"/>
      <c r="CS79" s="32"/>
      <c r="CT79" s="32"/>
      <c r="CU79" s="32"/>
      <c r="CV79" s="32"/>
      <c r="CW79" s="32"/>
      <c r="CX79" s="32"/>
      <c r="CY79" s="32"/>
      <c r="CZ79" s="32"/>
      <c r="DA79" s="32"/>
      <c r="DB79" s="32"/>
      <c r="DC79" s="32"/>
      <c r="DD79" s="32"/>
      <c r="DE79" s="32"/>
      <c r="DF79" s="32"/>
      <c r="DG79" s="32"/>
      <c r="DH79" s="32"/>
      <c r="DI79" s="32">
        <v>1</v>
      </c>
      <c r="DJ79" s="32"/>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c r="EL79" s="32"/>
      <c r="EM79" s="32"/>
      <c r="EN79" s="32">
        <v>7</v>
      </c>
    </row>
    <row r="80" spans="1:144" x14ac:dyDescent="0.25">
      <c r="A80" s="31" t="s">
        <v>2653</v>
      </c>
      <c r="B80" s="32"/>
      <c r="C80" s="32"/>
      <c r="D80" s="32">
        <v>1</v>
      </c>
      <c r="E80" s="32">
        <v>1</v>
      </c>
      <c r="F80" s="32"/>
      <c r="G80" s="32"/>
      <c r="H80" s="32"/>
      <c r="I80" s="32"/>
      <c r="J80" s="32"/>
      <c r="K80" s="32"/>
      <c r="L80" s="32"/>
      <c r="M80" s="32"/>
      <c r="N80" s="32">
        <v>1</v>
      </c>
      <c r="O80" s="32"/>
      <c r="P80" s="32"/>
      <c r="Q80" s="32">
        <v>1</v>
      </c>
      <c r="R80" s="32">
        <v>1</v>
      </c>
      <c r="S80" s="32"/>
      <c r="T80" s="32"/>
      <c r="U80" s="32"/>
      <c r="V80" s="32">
        <v>4</v>
      </c>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v>2</v>
      </c>
      <c r="BJ80" s="32"/>
      <c r="BK80" s="32"/>
      <c r="BL80" s="32"/>
      <c r="BM80" s="32"/>
      <c r="BN80" s="32"/>
      <c r="BO80" s="32"/>
      <c r="BP80" s="32"/>
      <c r="BQ80" s="32">
        <v>1</v>
      </c>
      <c r="BR80" s="32"/>
      <c r="BS80" s="32"/>
      <c r="BT80" s="32">
        <v>1</v>
      </c>
      <c r="BU80" s="32"/>
      <c r="BV80" s="32"/>
      <c r="BW80" s="32"/>
      <c r="BX80" s="32"/>
      <c r="BY80" s="32"/>
      <c r="BZ80" s="32">
        <v>2</v>
      </c>
      <c r="CA80" s="32"/>
      <c r="CB80" s="32">
        <v>1</v>
      </c>
      <c r="CC80" s="32"/>
      <c r="CD80" s="32"/>
      <c r="CE80" s="32"/>
      <c r="CF80" s="32"/>
      <c r="CG80" s="32"/>
      <c r="CH80" s="32"/>
      <c r="CI80" s="32"/>
      <c r="CJ80" s="32">
        <v>1</v>
      </c>
      <c r="CK80" s="32"/>
      <c r="CL80" s="32"/>
      <c r="CM80" s="32"/>
      <c r="CN80" s="32"/>
      <c r="CO80" s="32"/>
      <c r="CP80" s="32"/>
      <c r="CQ80" s="32"/>
      <c r="CR80" s="32"/>
      <c r="CS80" s="32"/>
      <c r="CT80" s="32"/>
      <c r="CU80" s="32"/>
      <c r="CV80" s="32"/>
      <c r="CW80" s="32"/>
      <c r="CX80" s="32">
        <v>2</v>
      </c>
      <c r="CY80" s="32"/>
      <c r="CZ80" s="32"/>
      <c r="DA80" s="32">
        <v>1</v>
      </c>
      <c r="DB80" s="32"/>
      <c r="DC80" s="32"/>
      <c r="DD80" s="32"/>
      <c r="DE80" s="32"/>
      <c r="DF80" s="32">
        <v>6</v>
      </c>
      <c r="DG80" s="32"/>
      <c r="DH80" s="32"/>
      <c r="DI80" s="32"/>
      <c r="DJ80" s="32"/>
      <c r="DK80" s="32">
        <v>1</v>
      </c>
      <c r="DL80" s="32"/>
      <c r="DM80" s="32"/>
      <c r="DN80" s="32"/>
      <c r="DO80" s="32">
        <v>5</v>
      </c>
      <c r="DP80" s="32"/>
      <c r="DQ80" s="32"/>
      <c r="DR80" s="32"/>
      <c r="DS80" s="32"/>
      <c r="DT80" s="32">
        <v>1</v>
      </c>
      <c r="DU80" s="32"/>
      <c r="DV80" s="32"/>
      <c r="DW80" s="32"/>
      <c r="DX80" s="32"/>
      <c r="DY80" s="32"/>
      <c r="DZ80" s="32"/>
      <c r="EA80" s="32">
        <v>2</v>
      </c>
      <c r="EB80" s="32"/>
      <c r="EC80" s="32"/>
      <c r="ED80" s="32"/>
      <c r="EE80" s="32"/>
      <c r="EF80" s="32"/>
      <c r="EG80" s="32"/>
      <c r="EH80" s="32"/>
      <c r="EI80" s="32"/>
      <c r="EJ80" s="32"/>
      <c r="EK80" s="32"/>
      <c r="EL80" s="32"/>
      <c r="EM80" s="32"/>
      <c r="EN80" s="32">
        <v>35</v>
      </c>
    </row>
    <row r="81" spans="1:144" x14ac:dyDescent="0.25">
      <c r="A81" s="31" t="s">
        <v>2522</v>
      </c>
      <c r="B81" s="32"/>
      <c r="C81" s="32"/>
      <c r="D81" s="32"/>
      <c r="E81" s="32"/>
      <c r="F81" s="32"/>
      <c r="G81" s="32"/>
      <c r="H81" s="32"/>
      <c r="I81" s="32"/>
      <c r="J81" s="32"/>
      <c r="K81" s="32"/>
      <c r="L81" s="32"/>
      <c r="M81" s="32"/>
      <c r="N81" s="32">
        <v>1</v>
      </c>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v>1</v>
      </c>
      <c r="AX81" s="32"/>
      <c r="AY81" s="32"/>
      <c r="AZ81" s="32"/>
      <c r="BA81" s="32"/>
      <c r="BB81" s="32"/>
      <c r="BC81" s="32"/>
      <c r="BD81" s="32"/>
      <c r="BE81" s="32"/>
      <c r="BF81" s="32"/>
      <c r="BG81" s="32"/>
      <c r="BH81" s="32"/>
      <c r="BI81" s="32">
        <v>1</v>
      </c>
      <c r="BJ81" s="32"/>
      <c r="BK81" s="32"/>
      <c r="BL81" s="32"/>
      <c r="BM81" s="32"/>
      <c r="BN81" s="32"/>
      <c r="BO81" s="32"/>
      <c r="BP81" s="32"/>
      <c r="BQ81" s="32"/>
      <c r="BR81" s="32"/>
      <c r="BS81" s="32"/>
      <c r="BT81" s="32"/>
      <c r="BU81" s="32"/>
      <c r="BV81" s="32"/>
      <c r="BW81" s="32"/>
      <c r="BX81" s="32"/>
      <c r="BY81" s="32"/>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2"/>
      <c r="DK81" s="32"/>
      <c r="DL81" s="32"/>
      <c r="DM81" s="32"/>
      <c r="DN81" s="32"/>
      <c r="DO81" s="32">
        <v>2</v>
      </c>
      <c r="DP81" s="32"/>
      <c r="DQ81" s="32"/>
      <c r="DR81" s="32"/>
      <c r="DS81" s="32"/>
      <c r="DT81" s="32"/>
      <c r="DU81" s="32"/>
      <c r="DV81" s="32"/>
      <c r="DW81" s="32"/>
      <c r="DX81" s="32"/>
      <c r="DY81" s="32"/>
      <c r="DZ81" s="32"/>
      <c r="EA81" s="32"/>
      <c r="EB81" s="32"/>
      <c r="EC81" s="32"/>
      <c r="ED81" s="32"/>
      <c r="EE81" s="32"/>
      <c r="EF81" s="32"/>
      <c r="EG81" s="32"/>
      <c r="EH81" s="32"/>
      <c r="EI81" s="32"/>
      <c r="EJ81" s="32"/>
      <c r="EK81" s="32"/>
      <c r="EL81" s="32"/>
      <c r="EM81" s="32"/>
      <c r="EN81" s="32">
        <v>5</v>
      </c>
    </row>
    <row r="82" spans="1:144" x14ac:dyDescent="0.25">
      <c r="A82" s="31" t="s">
        <v>2278</v>
      </c>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c r="BX82" s="32"/>
      <c r="BY82" s="32"/>
      <c r="BZ82" s="32"/>
      <c r="CA82" s="32"/>
      <c r="CB82" s="32"/>
      <c r="CC82" s="32"/>
      <c r="CD82" s="32"/>
      <c r="CE82" s="32"/>
      <c r="CF82" s="32"/>
      <c r="CG82" s="32"/>
      <c r="CH82" s="32"/>
      <c r="CI82" s="32"/>
      <c r="CJ82" s="32"/>
      <c r="CK82" s="32"/>
      <c r="CL82" s="32"/>
      <c r="CM82" s="32"/>
      <c r="CN82" s="32"/>
      <c r="CO82" s="32"/>
      <c r="CP82" s="32"/>
      <c r="CQ82" s="32"/>
      <c r="CR82" s="32"/>
      <c r="CS82" s="32"/>
      <c r="CT82" s="32"/>
      <c r="CU82" s="32"/>
      <c r="CV82" s="32"/>
      <c r="CW82" s="32"/>
      <c r="CX82" s="32"/>
      <c r="CY82" s="32"/>
      <c r="CZ82" s="32"/>
      <c r="DA82" s="32"/>
      <c r="DB82" s="32"/>
      <c r="DC82" s="32"/>
      <c r="DD82" s="32"/>
      <c r="DE82" s="32"/>
      <c r="DF82" s="32"/>
      <c r="DG82" s="32"/>
      <c r="DH82" s="32"/>
      <c r="DI82" s="32"/>
      <c r="DJ82" s="32"/>
      <c r="DK82" s="32"/>
      <c r="DL82" s="32"/>
      <c r="DM82" s="32"/>
      <c r="DN82" s="32"/>
      <c r="DO82" s="32"/>
      <c r="DP82" s="32"/>
      <c r="DQ82" s="32"/>
      <c r="DR82" s="32"/>
      <c r="DS82" s="32"/>
      <c r="DT82" s="32"/>
      <c r="DU82" s="32"/>
      <c r="DV82" s="32"/>
      <c r="DW82" s="32"/>
      <c r="DX82" s="32"/>
      <c r="DY82" s="32"/>
      <c r="DZ82" s="32"/>
      <c r="EA82" s="32"/>
      <c r="EB82" s="32"/>
      <c r="EC82" s="32"/>
      <c r="ED82" s="32"/>
      <c r="EE82" s="32"/>
      <c r="EF82" s="32"/>
      <c r="EG82" s="32">
        <v>1</v>
      </c>
      <c r="EH82" s="32"/>
      <c r="EI82" s="32"/>
      <c r="EJ82" s="32"/>
      <c r="EK82" s="32"/>
      <c r="EL82" s="32"/>
      <c r="EM82" s="32"/>
      <c r="EN82" s="32">
        <v>1</v>
      </c>
    </row>
    <row r="83" spans="1:144" x14ac:dyDescent="0.25">
      <c r="A83" s="31" t="s">
        <v>2729</v>
      </c>
      <c r="B83" s="32"/>
      <c r="C83" s="32"/>
      <c r="D83" s="32"/>
      <c r="E83" s="32"/>
      <c r="F83" s="32"/>
      <c r="G83" s="32"/>
      <c r="H83" s="32">
        <v>1</v>
      </c>
      <c r="I83" s="32"/>
      <c r="J83" s="32"/>
      <c r="K83" s="32"/>
      <c r="L83" s="32"/>
      <c r="M83" s="32"/>
      <c r="N83" s="32"/>
      <c r="O83" s="32"/>
      <c r="P83" s="32"/>
      <c r="Q83" s="32"/>
      <c r="R83" s="32"/>
      <c r="S83" s="32"/>
      <c r="T83" s="32"/>
      <c r="U83" s="32"/>
      <c r="V83" s="32">
        <v>1</v>
      </c>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c r="DC83" s="32"/>
      <c r="DD83" s="32"/>
      <c r="DE83" s="32"/>
      <c r="DF83" s="32">
        <v>1</v>
      </c>
      <c r="DG83" s="32"/>
      <c r="DH83" s="32"/>
      <c r="DI83" s="32"/>
      <c r="DJ83" s="32"/>
      <c r="DK83" s="32">
        <v>2</v>
      </c>
      <c r="DL83" s="32">
        <v>1</v>
      </c>
      <c r="DM83" s="32"/>
      <c r="DN83" s="32"/>
      <c r="DO83" s="32"/>
      <c r="DP83" s="32"/>
      <c r="DQ83" s="32"/>
      <c r="DR83" s="32"/>
      <c r="DS83" s="32"/>
      <c r="DT83" s="32"/>
      <c r="DU83" s="32"/>
      <c r="DV83" s="32"/>
      <c r="DW83" s="32"/>
      <c r="DX83" s="32"/>
      <c r="DY83" s="32"/>
      <c r="DZ83" s="32"/>
      <c r="EA83" s="32"/>
      <c r="EB83" s="32"/>
      <c r="EC83" s="32"/>
      <c r="ED83" s="32"/>
      <c r="EE83" s="32"/>
      <c r="EF83" s="32"/>
      <c r="EG83" s="32"/>
      <c r="EH83" s="32"/>
      <c r="EI83" s="32"/>
      <c r="EJ83" s="32"/>
      <c r="EK83" s="32"/>
      <c r="EL83" s="32"/>
      <c r="EM83" s="32"/>
      <c r="EN83" s="32">
        <v>6</v>
      </c>
    </row>
    <row r="84" spans="1:144" x14ac:dyDescent="0.25">
      <c r="A84" s="31" t="s">
        <v>3863</v>
      </c>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v>1</v>
      </c>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2"/>
      <c r="CC84" s="32"/>
      <c r="CD84" s="32"/>
      <c r="CE84" s="32"/>
      <c r="CF84" s="32"/>
      <c r="CG84" s="32"/>
      <c r="CH84" s="32"/>
      <c r="CI84" s="32"/>
      <c r="CJ84" s="32"/>
      <c r="CK84" s="32"/>
      <c r="CL84" s="32"/>
      <c r="CM84" s="32"/>
      <c r="CN84" s="32"/>
      <c r="CO84" s="32"/>
      <c r="CP84" s="32"/>
      <c r="CQ84" s="32"/>
      <c r="CR84" s="32"/>
      <c r="CS84" s="32"/>
      <c r="CT84" s="32"/>
      <c r="CU84" s="32"/>
      <c r="CV84" s="32"/>
      <c r="CW84" s="32"/>
      <c r="CX84" s="32"/>
      <c r="CY84" s="32"/>
      <c r="CZ84" s="32"/>
      <c r="DA84" s="32"/>
      <c r="DB84" s="32"/>
      <c r="DC84" s="32"/>
      <c r="DD84" s="32"/>
      <c r="DE84" s="32"/>
      <c r="DF84" s="32"/>
      <c r="DG84" s="32"/>
      <c r="DH84" s="32"/>
      <c r="DI84" s="32"/>
      <c r="DJ84" s="32"/>
      <c r="DK84" s="32"/>
      <c r="DL84" s="32"/>
      <c r="DM84" s="32"/>
      <c r="DN84" s="32"/>
      <c r="DO84" s="32"/>
      <c r="DP84" s="32"/>
      <c r="DQ84" s="32"/>
      <c r="DR84" s="32"/>
      <c r="DS84" s="32"/>
      <c r="DT84" s="32"/>
      <c r="DU84" s="32"/>
      <c r="DV84" s="32"/>
      <c r="DW84" s="32"/>
      <c r="DX84" s="32"/>
      <c r="DY84" s="32"/>
      <c r="DZ84" s="32"/>
      <c r="EA84" s="32"/>
      <c r="EB84" s="32"/>
      <c r="EC84" s="32"/>
      <c r="ED84" s="32"/>
      <c r="EE84" s="32"/>
      <c r="EF84" s="32"/>
      <c r="EG84" s="32"/>
      <c r="EH84" s="32"/>
      <c r="EI84" s="32"/>
      <c r="EJ84" s="32"/>
      <c r="EK84" s="32"/>
      <c r="EL84" s="32"/>
      <c r="EM84" s="32"/>
      <c r="EN84" s="32">
        <v>1</v>
      </c>
    </row>
    <row r="85" spans="1:144" x14ac:dyDescent="0.25">
      <c r="A85" s="31" t="s">
        <v>3864</v>
      </c>
      <c r="B85" s="32">
        <v>1</v>
      </c>
      <c r="C85" s="32">
        <v>1</v>
      </c>
      <c r="D85" s="32">
        <v>1</v>
      </c>
      <c r="E85" s="32">
        <v>3</v>
      </c>
      <c r="F85" s="32">
        <v>1</v>
      </c>
      <c r="G85" s="32">
        <v>1</v>
      </c>
      <c r="H85" s="32">
        <v>1</v>
      </c>
      <c r="I85" s="32">
        <v>2</v>
      </c>
      <c r="J85" s="32">
        <v>1</v>
      </c>
      <c r="K85" s="32">
        <v>4</v>
      </c>
      <c r="L85" s="32">
        <v>2</v>
      </c>
      <c r="M85" s="32">
        <v>4</v>
      </c>
      <c r="N85" s="32">
        <v>9</v>
      </c>
      <c r="O85" s="32">
        <v>1</v>
      </c>
      <c r="P85" s="32">
        <v>1</v>
      </c>
      <c r="Q85" s="32">
        <v>1</v>
      </c>
      <c r="R85" s="32">
        <v>1</v>
      </c>
      <c r="S85" s="32">
        <v>34</v>
      </c>
      <c r="T85" s="32">
        <v>1</v>
      </c>
      <c r="U85" s="32">
        <v>1</v>
      </c>
      <c r="V85" s="32">
        <v>54</v>
      </c>
      <c r="W85" s="32">
        <v>1</v>
      </c>
      <c r="X85" s="32">
        <v>1</v>
      </c>
      <c r="Y85" s="32">
        <v>1</v>
      </c>
      <c r="Z85" s="32">
        <v>3</v>
      </c>
      <c r="AA85" s="32">
        <v>15</v>
      </c>
      <c r="AB85" s="32">
        <v>6</v>
      </c>
      <c r="AC85" s="32">
        <v>2</v>
      </c>
      <c r="AD85" s="32">
        <v>2</v>
      </c>
      <c r="AE85" s="32">
        <v>1</v>
      </c>
      <c r="AF85" s="32">
        <v>1</v>
      </c>
      <c r="AG85" s="32">
        <v>1</v>
      </c>
      <c r="AH85" s="32">
        <v>4</v>
      </c>
      <c r="AI85" s="32">
        <v>1</v>
      </c>
      <c r="AJ85" s="32">
        <v>2</v>
      </c>
      <c r="AK85" s="32">
        <v>2</v>
      </c>
      <c r="AL85" s="32">
        <v>1</v>
      </c>
      <c r="AM85" s="32">
        <v>3</v>
      </c>
      <c r="AN85" s="32">
        <v>4</v>
      </c>
      <c r="AO85" s="32">
        <v>1</v>
      </c>
      <c r="AP85" s="32">
        <v>1</v>
      </c>
      <c r="AQ85" s="32">
        <v>1</v>
      </c>
      <c r="AR85" s="32">
        <v>1</v>
      </c>
      <c r="AS85" s="32">
        <v>1</v>
      </c>
      <c r="AT85" s="32">
        <v>1</v>
      </c>
      <c r="AU85" s="32">
        <v>1</v>
      </c>
      <c r="AV85" s="32">
        <v>4</v>
      </c>
      <c r="AW85" s="32">
        <v>5</v>
      </c>
      <c r="AX85" s="32">
        <v>1</v>
      </c>
      <c r="AY85" s="32">
        <v>1</v>
      </c>
      <c r="AZ85" s="32">
        <v>1</v>
      </c>
      <c r="BA85" s="32">
        <v>2</v>
      </c>
      <c r="BB85" s="32">
        <v>1</v>
      </c>
      <c r="BC85" s="32">
        <v>3</v>
      </c>
      <c r="BD85" s="32">
        <v>11</v>
      </c>
      <c r="BE85" s="32">
        <v>44</v>
      </c>
      <c r="BF85" s="32">
        <v>1</v>
      </c>
      <c r="BG85" s="32">
        <v>1</v>
      </c>
      <c r="BH85" s="32">
        <v>8</v>
      </c>
      <c r="BI85" s="32">
        <v>57</v>
      </c>
      <c r="BJ85" s="32">
        <v>1</v>
      </c>
      <c r="BK85" s="32">
        <v>1</v>
      </c>
      <c r="BL85" s="32">
        <v>1</v>
      </c>
      <c r="BM85" s="32">
        <v>1</v>
      </c>
      <c r="BN85" s="32">
        <v>15</v>
      </c>
      <c r="BO85" s="32">
        <v>2</v>
      </c>
      <c r="BP85" s="32">
        <v>1</v>
      </c>
      <c r="BQ85" s="32">
        <v>4</v>
      </c>
      <c r="BR85" s="32">
        <v>1</v>
      </c>
      <c r="BS85" s="32">
        <v>2</v>
      </c>
      <c r="BT85" s="32">
        <v>1</v>
      </c>
      <c r="BU85" s="32">
        <v>1</v>
      </c>
      <c r="BV85" s="32">
        <v>1</v>
      </c>
      <c r="BW85" s="32">
        <v>1</v>
      </c>
      <c r="BX85" s="32">
        <v>1</v>
      </c>
      <c r="BY85" s="32">
        <v>1</v>
      </c>
      <c r="BZ85" s="32">
        <v>5</v>
      </c>
      <c r="CA85" s="32">
        <v>1</v>
      </c>
      <c r="CB85" s="32">
        <v>4</v>
      </c>
      <c r="CC85" s="32">
        <v>1</v>
      </c>
      <c r="CD85" s="32">
        <v>2</v>
      </c>
      <c r="CE85" s="32">
        <v>1</v>
      </c>
      <c r="CF85" s="32">
        <v>2</v>
      </c>
      <c r="CG85" s="32">
        <v>4</v>
      </c>
      <c r="CH85" s="32">
        <v>7</v>
      </c>
      <c r="CI85" s="32">
        <v>11</v>
      </c>
      <c r="CJ85" s="32">
        <v>5</v>
      </c>
      <c r="CK85" s="32">
        <v>1</v>
      </c>
      <c r="CL85" s="32">
        <v>1</v>
      </c>
      <c r="CM85" s="32">
        <v>1</v>
      </c>
      <c r="CN85" s="32">
        <v>2</v>
      </c>
      <c r="CO85" s="32">
        <v>1</v>
      </c>
      <c r="CP85" s="32">
        <v>1</v>
      </c>
      <c r="CQ85" s="32">
        <v>1</v>
      </c>
      <c r="CR85" s="32">
        <v>1</v>
      </c>
      <c r="CS85" s="32">
        <v>2</v>
      </c>
      <c r="CT85" s="32">
        <v>1</v>
      </c>
      <c r="CU85" s="32">
        <v>1</v>
      </c>
      <c r="CV85" s="32">
        <v>1</v>
      </c>
      <c r="CW85" s="32">
        <v>1</v>
      </c>
      <c r="CX85" s="32">
        <v>51</v>
      </c>
      <c r="CY85" s="32">
        <v>14</v>
      </c>
      <c r="CZ85" s="32">
        <v>3</v>
      </c>
      <c r="DA85" s="32">
        <v>1</v>
      </c>
      <c r="DB85" s="32">
        <v>3</v>
      </c>
      <c r="DC85" s="32">
        <v>2</v>
      </c>
      <c r="DD85" s="32">
        <v>1</v>
      </c>
      <c r="DE85" s="32">
        <v>1</v>
      </c>
      <c r="DF85" s="32">
        <v>199</v>
      </c>
      <c r="DG85" s="32">
        <v>1</v>
      </c>
      <c r="DH85" s="32">
        <v>1</v>
      </c>
      <c r="DI85" s="32">
        <v>54</v>
      </c>
      <c r="DJ85" s="32">
        <v>7</v>
      </c>
      <c r="DK85" s="32">
        <v>36</v>
      </c>
      <c r="DL85" s="32">
        <v>20</v>
      </c>
      <c r="DM85" s="32">
        <v>1</v>
      </c>
      <c r="DN85" s="32">
        <v>1</v>
      </c>
      <c r="DO85" s="32">
        <v>181</v>
      </c>
      <c r="DP85" s="32">
        <v>1</v>
      </c>
      <c r="DQ85" s="32">
        <v>1</v>
      </c>
      <c r="DR85" s="32">
        <v>1</v>
      </c>
      <c r="DS85" s="32">
        <v>3</v>
      </c>
      <c r="DT85" s="32">
        <v>3</v>
      </c>
      <c r="DU85" s="32">
        <v>1</v>
      </c>
      <c r="DV85" s="32">
        <v>1</v>
      </c>
      <c r="DW85" s="32">
        <v>1</v>
      </c>
      <c r="DX85" s="32">
        <v>13</v>
      </c>
      <c r="DY85" s="32">
        <v>1</v>
      </c>
      <c r="DZ85" s="32">
        <v>1</v>
      </c>
      <c r="EA85" s="32">
        <v>50</v>
      </c>
      <c r="EB85" s="32">
        <v>1</v>
      </c>
      <c r="EC85" s="32">
        <v>14</v>
      </c>
      <c r="ED85" s="32">
        <v>1</v>
      </c>
      <c r="EE85" s="32">
        <v>1</v>
      </c>
      <c r="EF85" s="32">
        <v>1</v>
      </c>
      <c r="EG85" s="32">
        <v>1</v>
      </c>
      <c r="EH85" s="32">
        <v>1</v>
      </c>
      <c r="EI85" s="32">
        <v>1</v>
      </c>
      <c r="EJ85" s="32">
        <v>1</v>
      </c>
      <c r="EK85" s="32">
        <v>4</v>
      </c>
      <c r="EL85" s="32">
        <v>3</v>
      </c>
      <c r="EM85" s="32"/>
      <c r="EN85" s="32">
        <v>1099</v>
      </c>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9FCE-27E4-483C-88A8-23F41267964C}">
  <dimension ref="A3:B15"/>
  <sheetViews>
    <sheetView topLeftCell="A2" workbookViewId="0">
      <selection activeCell="B18" sqref="B18"/>
    </sheetView>
  </sheetViews>
  <sheetFormatPr baseColWidth="10" defaultRowHeight="15" x14ac:dyDescent="0.25"/>
  <cols>
    <col min="1" max="1" width="10.85546875" bestFit="1" customWidth="1"/>
    <col min="2" max="2" width="15.85546875" bestFit="1" customWidth="1"/>
  </cols>
  <sheetData>
    <row r="3" spans="1:2" x14ac:dyDescent="0.25">
      <c r="A3" s="33" t="s">
        <v>194</v>
      </c>
      <c r="B3" t="s">
        <v>3978</v>
      </c>
    </row>
    <row r="4" spans="1:2" x14ac:dyDescent="0.25">
      <c r="A4" t="s">
        <v>265</v>
      </c>
      <c r="B4" s="12">
        <v>11</v>
      </c>
    </row>
    <row r="5" spans="1:2" x14ac:dyDescent="0.25">
      <c r="A5" t="s">
        <v>817</v>
      </c>
      <c r="B5" s="12">
        <v>44</v>
      </c>
    </row>
    <row r="6" spans="1:2" x14ac:dyDescent="0.25">
      <c r="A6" t="s">
        <v>198</v>
      </c>
      <c r="B6" s="12">
        <v>16</v>
      </c>
    </row>
    <row r="7" spans="1:2" x14ac:dyDescent="0.25">
      <c r="A7" t="s">
        <v>249</v>
      </c>
      <c r="B7" s="12">
        <v>49</v>
      </c>
    </row>
    <row r="8" spans="1:2" x14ac:dyDescent="0.25">
      <c r="A8" t="s">
        <v>383</v>
      </c>
      <c r="B8" s="12">
        <v>26</v>
      </c>
    </row>
    <row r="9" spans="1:2" x14ac:dyDescent="0.25">
      <c r="A9" t="s">
        <v>973</v>
      </c>
      <c r="B9" s="12">
        <v>16</v>
      </c>
    </row>
    <row r="10" spans="1:2" x14ac:dyDescent="0.25">
      <c r="A10" t="s">
        <v>2149</v>
      </c>
      <c r="B10" s="12">
        <v>4</v>
      </c>
    </row>
    <row r="11" spans="1:2" x14ac:dyDescent="0.25">
      <c r="A11" t="s">
        <v>431</v>
      </c>
      <c r="B11" s="12">
        <v>4</v>
      </c>
    </row>
    <row r="12" spans="1:2" x14ac:dyDescent="0.25">
      <c r="A12" t="s">
        <v>3473</v>
      </c>
      <c r="B12" s="12">
        <v>1</v>
      </c>
    </row>
    <row r="13" spans="1:2" x14ac:dyDescent="0.25">
      <c r="A13" t="s">
        <v>1038</v>
      </c>
      <c r="B13" s="12">
        <v>13</v>
      </c>
    </row>
    <row r="14" spans="1:2" x14ac:dyDescent="0.25">
      <c r="A14" t="s">
        <v>1082</v>
      </c>
      <c r="B14" s="12">
        <v>6</v>
      </c>
    </row>
    <row r="15" spans="1:2" x14ac:dyDescent="0.25">
      <c r="A15" t="s">
        <v>1097</v>
      </c>
      <c r="B15" s="12">
        <v>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AL221"/>
  <sheetViews>
    <sheetView workbookViewId="0">
      <selection activeCell="A2" sqref="A2"/>
    </sheetView>
  </sheetViews>
  <sheetFormatPr baseColWidth="10" defaultRowHeight="15" x14ac:dyDescent="0.25"/>
  <cols>
    <col min="1" max="1" width="5.5703125" bestFit="1" customWidth="1"/>
    <col min="4" max="4" width="6.42578125" bestFit="1" customWidth="1"/>
    <col min="5" max="5" width="6.85546875" bestFit="1" customWidth="1"/>
    <col min="6" max="6" width="10.42578125" bestFit="1" customWidth="1"/>
    <col min="7" max="7" width="4.85546875" customWidth="1"/>
    <col min="8" max="8" width="13.5703125" bestFit="1" customWidth="1"/>
    <col min="9" max="9" width="21.42578125" customWidth="1"/>
    <col min="10" max="10" width="24.5703125" bestFit="1" customWidth="1"/>
    <col min="11" max="11" width="23.7109375" bestFit="1" customWidth="1"/>
    <col min="12" max="12" width="23.7109375" customWidth="1"/>
    <col min="13" max="13" width="40.140625" bestFit="1" customWidth="1"/>
    <col min="14" max="14" width="25.5703125" bestFit="1" customWidth="1"/>
    <col min="15" max="15" width="22.7109375" bestFit="1" customWidth="1"/>
    <col min="16" max="16" width="22.7109375" customWidth="1"/>
    <col min="18" max="18" width="24.42578125" bestFit="1" customWidth="1"/>
    <col min="19" max="19" width="24.42578125" customWidth="1"/>
    <col min="20" max="20" width="39.7109375" bestFit="1" customWidth="1"/>
    <col min="21" max="21" width="26.42578125" bestFit="1" customWidth="1"/>
    <col min="22" max="22" width="25.5703125" bestFit="1" customWidth="1"/>
    <col min="23" max="26" width="25.5703125" customWidth="1"/>
    <col min="27" max="27" width="13.5703125" customWidth="1"/>
    <col min="28" max="28" width="13.5703125" bestFit="1" customWidth="1"/>
    <col min="29" max="34" width="13.5703125" customWidth="1"/>
    <col min="37" max="37" width="18.5703125" bestFit="1" customWidth="1"/>
  </cols>
  <sheetData>
    <row r="1" spans="1:38" x14ac:dyDescent="0.25">
      <c r="A1" t="s">
        <v>280</v>
      </c>
      <c r="B1" t="s">
        <v>187</v>
      </c>
      <c r="C1" t="s">
        <v>281</v>
      </c>
      <c r="D1" t="s">
        <v>221</v>
      </c>
      <c r="E1" t="s">
        <v>282</v>
      </c>
      <c r="F1" t="s">
        <v>194</v>
      </c>
      <c r="G1" t="s">
        <v>195</v>
      </c>
      <c r="H1" t="s">
        <v>239</v>
      </c>
      <c r="I1" t="s">
        <v>798</v>
      </c>
      <c r="J1" t="s">
        <v>699</v>
      </c>
      <c r="K1" t="s">
        <v>257</v>
      </c>
      <c r="L1" t="s">
        <v>925</v>
      </c>
      <c r="M1" s="2" t="s">
        <v>688</v>
      </c>
      <c r="N1" s="2" t="s">
        <v>1251</v>
      </c>
      <c r="O1" s="2" t="s">
        <v>1848</v>
      </c>
      <c r="P1" s="35" t="s">
        <v>3932</v>
      </c>
      <c r="Q1" t="s">
        <v>241</v>
      </c>
      <c r="R1" s="5" t="s">
        <v>258</v>
      </c>
      <c r="S1" s="5" t="s">
        <v>1163</v>
      </c>
      <c r="T1" s="2" t="s">
        <v>689</v>
      </c>
      <c r="U1" s="2" t="s">
        <v>1250</v>
      </c>
      <c r="V1" s="5" t="s">
        <v>259</v>
      </c>
      <c r="W1" s="5" t="s">
        <v>1122</v>
      </c>
      <c r="X1" s="35" t="s">
        <v>3933</v>
      </c>
      <c r="Y1" s="5" t="s">
        <v>2275</v>
      </c>
      <c r="Z1" s="5" t="s">
        <v>2276</v>
      </c>
      <c r="AA1" s="1" t="s">
        <v>766</v>
      </c>
      <c r="AB1" t="s">
        <v>260</v>
      </c>
      <c r="AC1" t="s">
        <v>334</v>
      </c>
      <c r="AD1" s="5" t="s">
        <v>353</v>
      </c>
      <c r="AE1" s="2" t="s">
        <v>350</v>
      </c>
      <c r="AF1" s="35" t="s">
        <v>3965</v>
      </c>
      <c r="AG1" t="s">
        <v>1894</v>
      </c>
      <c r="AH1" t="s">
        <v>3595</v>
      </c>
      <c r="AI1" t="s">
        <v>283</v>
      </c>
      <c r="AJ1" t="s">
        <v>186</v>
      </c>
      <c r="AK1" t="s">
        <v>281</v>
      </c>
      <c r="AL1" t="s">
        <v>185</v>
      </c>
    </row>
    <row r="2" spans="1:38" x14ac:dyDescent="0.25">
      <c r="A2">
        <v>142</v>
      </c>
      <c r="B2" t="s">
        <v>165</v>
      </c>
      <c r="C2" t="s">
        <v>197</v>
      </c>
      <c r="D2" t="s">
        <v>219</v>
      </c>
      <c r="E2">
        <v>1342</v>
      </c>
      <c r="F2" t="s">
        <v>198</v>
      </c>
      <c r="G2">
        <v>17</v>
      </c>
      <c r="H2" s="11">
        <v>0</v>
      </c>
      <c r="I2" s="11">
        <v>0</v>
      </c>
      <c r="J2" s="11">
        <v>0</v>
      </c>
      <c r="K2" s="11">
        <v>0</v>
      </c>
      <c r="L2" s="11">
        <v>0</v>
      </c>
      <c r="M2" s="11">
        <f>1/2</f>
        <v>0.5</v>
      </c>
      <c r="N2">
        <v>0</v>
      </c>
      <c r="O2">
        <v>0</v>
      </c>
      <c r="P2" s="5">
        <f>(K2+L2/2+J2/4+M2/8+N2/16+O2/32)*39</f>
        <v>2.4375</v>
      </c>
      <c r="Q2" s="11">
        <v>0</v>
      </c>
      <c r="R2" s="11">
        <v>0</v>
      </c>
      <c r="S2" s="11">
        <v>0</v>
      </c>
      <c r="T2" s="11">
        <v>0</v>
      </c>
      <c r="U2" s="11">
        <v>0</v>
      </c>
      <c r="V2" s="11">
        <v>0</v>
      </c>
      <c r="W2" s="11">
        <v>0</v>
      </c>
      <c r="X2" s="5">
        <f>(R2+S2/2+V2/4+T2/8+U2/16+W2/32)*39</f>
        <v>0</v>
      </c>
      <c r="Y2">
        <v>0</v>
      </c>
      <c r="Z2">
        <v>0</v>
      </c>
      <c r="AA2" s="11">
        <v>0</v>
      </c>
      <c r="AB2" s="11">
        <v>0</v>
      </c>
      <c r="AC2" s="11">
        <v>0</v>
      </c>
      <c r="AD2" s="11">
        <v>0</v>
      </c>
      <c r="AE2" s="11">
        <v>0</v>
      </c>
      <c r="AF2" s="11">
        <f>AB2+AC2/48+AD2/24+AE2/48</f>
        <v>0</v>
      </c>
      <c r="AG2">
        <v>0</v>
      </c>
      <c r="AH2">
        <v>0</v>
      </c>
      <c r="AI2" s="5" t="s">
        <v>284</v>
      </c>
    </row>
    <row r="3" spans="1:38" x14ac:dyDescent="0.25">
      <c r="A3">
        <v>142</v>
      </c>
      <c r="B3" t="s">
        <v>165</v>
      </c>
      <c r="C3" t="s">
        <v>197</v>
      </c>
      <c r="D3" t="s">
        <v>219</v>
      </c>
      <c r="E3">
        <v>1342</v>
      </c>
      <c r="F3" t="s">
        <v>198</v>
      </c>
      <c r="G3">
        <v>17</v>
      </c>
      <c r="H3" s="11">
        <v>0</v>
      </c>
      <c r="I3" s="11">
        <v>0</v>
      </c>
      <c r="J3" s="11">
        <v>0</v>
      </c>
      <c r="K3" s="11">
        <v>0</v>
      </c>
      <c r="L3" s="11">
        <v>0</v>
      </c>
      <c r="M3" s="11">
        <f>1/2</f>
        <v>0.5</v>
      </c>
      <c r="N3">
        <v>0</v>
      </c>
      <c r="O3">
        <v>0</v>
      </c>
      <c r="P3" s="5">
        <f t="shared" ref="P3:P66" si="0">(K3+L3/2+J3/4+M3/8+N3/16+O3/32)*39</f>
        <v>2.4375</v>
      </c>
      <c r="Q3" s="11">
        <v>0</v>
      </c>
      <c r="R3" s="11">
        <v>0</v>
      </c>
      <c r="S3" s="11">
        <v>0</v>
      </c>
      <c r="T3" s="11">
        <v>1</v>
      </c>
      <c r="U3" s="11">
        <v>0</v>
      </c>
      <c r="V3" s="11">
        <v>0</v>
      </c>
      <c r="W3" s="11">
        <v>0</v>
      </c>
      <c r="X3" s="5">
        <f t="shared" ref="X3:X66" si="1">(R3+S3/2+V3/4+T3/8+U3/16+W3/32)*39</f>
        <v>4.875</v>
      </c>
      <c r="Y3">
        <v>0</v>
      </c>
      <c r="Z3">
        <v>0</v>
      </c>
      <c r="AA3" s="11">
        <v>0</v>
      </c>
      <c r="AB3" s="11">
        <f>4/12</f>
        <v>0.33333333333333331</v>
      </c>
      <c r="AC3" s="11">
        <v>0</v>
      </c>
      <c r="AD3" s="11">
        <v>0</v>
      </c>
      <c r="AE3" s="11">
        <v>0</v>
      </c>
      <c r="AF3" s="11">
        <f t="shared" ref="AF3:AF66" si="2">AB3+AC3/48+AD3/24+AE3/48</f>
        <v>0.33333333333333331</v>
      </c>
      <c r="AG3">
        <v>0</v>
      </c>
      <c r="AH3">
        <v>0</v>
      </c>
      <c r="AI3" s="5" t="s">
        <v>1202</v>
      </c>
      <c r="AK3" t="s">
        <v>1203</v>
      </c>
    </row>
    <row r="4" spans="1:38" x14ac:dyDescent="0.25">
      <c r="A4">
        <v>151</v>
      </c>
      <c r="B4" t="s">
        <v>11</v>
      </c>
      <c r="C4" t="s">
        <v>197</v>
      </c>
      <c r="D4" t="s">
        <v>219</v>
      </c>
      <c r="E4">
        <v>1342</v>
      </c>
      <c r="F4" t="s">
        <v>198</v>
      </c>
      <c r="G4">
        <v>17</v>
      </c>
      <c r="H4" s="11">
        <v>0</v>
      </c>
      <c r="I4" s="11">
        <v>0</v>
      </c>
      <c r="J4" s="11">
        <v>0</v>
      </c>
      <c r="K4" s="11">
        <v>0</v>
      </c>
      <c r="L4" s="11">
        <v>0</v>
      </c>
      <c r="M4" s="11">
        <f>1/2</f>
        <v>0.5</v>
      </c>
      <c r="N4">
        <v>0</v>
      </c>
      <c r="O4">
        <v>0</v>
      </c>
      <c r="P4" s="5">
        <f t="shared" si="0"/>
        <v>2.4375</v>
      </c>
      <c r="Q4" s="11">
        <v>0</v>
      </c>
      <c r="R4" s="11">
        <v>0</v>
      </c>
      <c r="S4" s="11">
        <v>0</v>
      </c>
      <c r="T4" s="11">
        <v>0</v>
      </c>
      <c r="U4" s="11">
        <v>0</v>
      </c>
      <c r="V4" s="11">
        <v>0</v>
      </c>
      <c r="W4" s="11">
        <v>0</v>
      </c>
      <c r="X4" s="5">
        <f t="shared" si="1"/>
        <v>0</v>
      </c>
      <c r="Y4">
        <v>0</v>
      </c>
      <c r="Z4">
        <v>0</v>
      </c>
      <c r="AA4" s="11">
        <v>0</v>
      </c>
      <c r="AB4" s="11">
        <v>0</v>
      </c>
      <c r="AC4" s="11">
        <v>0</v>
      </c>
      <c r="AD4" s="11">
        <v>0</v>
      </c>
      <c r="AE4" s="11">
        <v>0</v>
      </c>
      <c r="AF4" s="11">
        <f t="shared" si="2"/>
        <v>0</v>
      </c>
      <c r="AG4">
        <v>0</v>
      </c>
      <c r="AH4">
        <v>0</v>
      </c>
      <c r="AI4" s="5" t="s">
        <v>1207</v>
      </c>
    </row>
    <row r="5" spans="1:38" x14ac:dyDescent="0.25">
      <c r="A5">
        <v>151</v>
      </c>
      <c r="B5" t="s">
        <v>11</v>
      </c>
      <c r="C5" t="s">
        <v>197</v>
      </c>
      <c r="D5" t="s">
        <v>219</v>
      </c>
      <c r="E5">
        <v>1342</v>
      </c>
      <c r="F5" t="s">
        <v>198</v>
      </c>
      <c r="G5">
        <v>17</v>
      </c>
      <c r="H5" s="11">
        <v>0</v>
      </c>
      <c r="I5" s="11">
        <v>0</v>
      </c>
      <c r="J5" s="11">
        <v>0</v>
      </c>
      <c r="K5" s="11">
        <v>0</v>
      </c>
      <c r="L5" s="11">
        <v>0</v>
      </c>
      <c r="M5" s="11">
        <v>0</v>
      </c>
      <c r="N5">
        <v>0</v>
      </c>
      <c r="O5">
        <v>0</v>
      </c>
      <c r="P5" s="5">
        <f t="shared" si="0"/>
        <v>0</v>
      </c>
      <c r="Q5" s="11">
        <v>0</v>
      </c>
      <c r="R5" s="11">
        <v>0</v>
      </c>
      <c r="S5" s="11">
        <v>0</v>
      </c>
      <c r="T5" s="11">
        <v>0</v>
      </c>
      <c r="U5" s="11">
        <v>0</v>
      </c>
      <c r="V5" s="11">
        <v>0</v>
      </c>
      <c r="W5" s="11">
        <v>0</v>
      </c>
      <c r="X5" s="5">
        <f t="shared" si="1"/>
        <v>0</v>
      </c>
      <c r="Y5">
        <v>0</v>
      </c>
      <c r="Z5">
        <v>0</v>
      </c>
      <c r="AA5" s="11">
        <v>0</v>
      </c>
      <c r="AB5" s="11">
        <f>3/12</f>
        <v>0.25</v>
      </c>
      <c r="AC5" s="11">
        <v>0</v>
      </c>
      <c r="AD5" s="11">
        <v>0</v>
      </c>
      <c r="AE5" s="11">
        <v>0</v>
      </c>
      <c r="AF5" s="11">
        <f t="shared" si="2"/>
        <v>0.25</v>
      </c>
      <c r="AG5">
        <v>0</v>
      </c>
      <c r="AH5">
        <v>0</v>
      </c>
      <c r="AI5" s="5" t="s">
        <v>306</v>
      </c>
    </row>
    <row r="6" spans="1:38" x14ac:dyDescent="0.25">
      <c r="A6">
        <v>151</v>
      </c>
      <c r="B6" t="s">
        <v>11</v>
      </c>
      <c r="C6" t="s">
        <v>197</v>
      </c>
      <c r="D6" t="s">
        <v>219</v>
      </c>
      <c r="E6">
        <v>1342</v>
      </c>
      <c r="F6" t="s">
        <v>198</v>
      </c>
      <c r="G6">
        <v>17</v>
      </c>
      <c r="H6" s="11">
        <f>1/2</f>
        <v>0.5</v>
      </c>
      <c r="I6" s="11">
        <v>0</v>
      </c>
      <c r="J6" s="11">
        <v>0</v>
      </c>
      <c r="K6" s="11">
        <v>0</v>
      </c>
      <c r="L6" s="11">
        <v>0</v>
      </c>
      <c r="M6" s="11">
        <v>0</v>
      </c>
      <c r="N6">
        <v>0</v>
      </c>
      <c r="O6">
        <v>0</v>
      </c>
      <c r="P6" s="5">
        <f t="shared" si="0"/>
        <v>0</v>
      </c>
      <c r="Q6" s="11">
        <v>0</v>
      </c>
      <c r="R6" s="11">
        <v>0</v>
      </c>
      <c r="S6" s="11">
        <v>0</v>
      </c>
      <c r="T6" s="11">
        <v>0</v>
      </c>
      <c r="U6" s="11">
        <v>0</v>
      </c>
      <c r="V6" s="11">
        <v>0</v>
      </c>
      <c r="W6" s="11">
        <v>0</v>
      </c>
      <c r="X6" s="5">
        <f t="shared" si="1"/>
        <v>0</v>
      </c>
      <c r="Y6">
        <v>0</v>
      </c>
      <c r="Z6">
        <v>0</v>
      </c>
      <c r="AA6" s="11">
        <v>0</v>
      </c>
      <c r="AB6" s="11">
        <f>2+5/12</f>
        <v>2.4166666666666665</v>
      </c>
      <c r="AC6" s="11">
        <v>0</v>
      </c>
      <c r="AD6" s="11">
        <v>0</v>
      </c>
      <c r="AE6" s="11">
        <v>0</v>
      </c>
      <c r="AF6" s="11">
        <f t="shared" si="2"/>
        <v>2.4166666666666665</v>
      </c>
      <c r="AG6">
        <v>0</v>
      </c>
      <c r="AH6">
        <v>0</v>
      </c>
      <c r="AI6" s="5" t="s">
        <v>833</v>
      </c>
    </row>
    <row r="7" spans="1:38" x14ac:dyDescent="0.25">
      <c r="A7">
        <v>151</v>
      </c>
      <c r="B7" t="s">
        <v>11</v>
      </c>
      <c r="C7" t="s">
        <v>197</v>
      </c>
      <c r="D7" t="s">
        <v>219</v>
      </c>
      <c r="E7">
        <v>1342</v>
      </c>
      <c r="F7" t="s">
        <v>198</v>
      </c>
      <c r="G7">
        <v>17</v>
      </c>
      <c r="H7" s="11">
        <v>0</v>
      </c>
      <c r="I7" s="11">
        <v>0</v>
      </c>
      <c r="J7" s="11">
        <v>0</v>
      </c>
      <c r="K7" s="11">
        <v>0</v>
      </c>
      <c r="L7" s="11">
        <v>0</v>
      </c>
      <c r="M7" s="11">
        <v>0.5</v>
      </c>
      <c r="N7">
        <v>0</v>
      </c>
      <c r="O7">
        <v>0</v>
      </c>
      <c r="P7" s="5">
        <f t="shared" si="0"/>
        <v>2.4375</v>
      </c>
      <c r="Q7" s="11">
        <v>0</v>
      </c>
      <c r="R7" s="11">
        <v>0</v>
      </c>
      <c r="S7" s="11">
        <v>0</v>
      </c>
      <c r="T7" s="11">
        <v>0.5</v>
      </c>
      <c r="U7" s="11">
        <v>0</v>
      </c>
      <c r="V7" s="11">
        <v>0</v>
      </c>
      <c r="W7" s="11">
        <v>0</v>
      </c>
      <c r="X7" s="5">
        <f t="shared" si="1"/>
        <v>2.4375</v>
      </c>
      <c r="Y7">
        <v>0</v>
      </c>
      <c r="Z7">
        <v>0</v>
      </c>
      <c r="AA7" s="11">
        <v>0</v>
      </c>
      <c r="AB7" s="11">
        <f>11/12</f>
        <v>0.91666666666666663</v>
      </c>
      <c r="AC7" s="11">
        <v>0</v>
      </c>
      <c r="AD7" s="11">
        <f>1/3</f>
        <v>0.33333333333333331</v>
      </c>
      <c r="AE7" s="11">
        <v>0</v>
      </c>
      <c r="AF7" s="11">
        <f t="shared" si="2"/>
        <v>0.93055555555555547</v>
      </c>
      <c r="AG7">
        <v>0</v>
      </c>
      <c r="AH7">
        <v>0</v>
      </c>
      <c r="AI7" s="5" t="s">
        <v>833</v>
      </c>
      <c r="AK7" t="s">
        <v>1213</v>
      </c>
      <c r="AL7" s="5" t="s">
        <v>1212</v>
      </c>
    </row>
    <row r="8" spans="1:38" x14ac:dyDescent="0.25">
      <c r="A8">
        <v>162</v>
      </c>
      <c r="B8" t="s">
        <v>39</v>
      </c>
      <c r="C8" t="s">
        <v>197</v>
      </c>
      <c r="D8" t="s">
        <v>219</v>
      </c>
      <c r="E8">
        <v>1342</v>
      </c>
      <c r="F8" t="s">
        <v>198</v>
      </c>
      <c r="G8">
        <v>18</v>
      </c>
      <c r="H8">
        <f>1/2</f>
        <v>0.5</v>
      </c>
      <c r="I8" s="11">
        <v>0</v>
      </c>
      <c r="J8" s="11">
        <v>0</v>
      </c>
      <c r="K8" s="11">
        <v>0</v>
      </c>
      <c r="L8" s="11">
        <v>0</v>
      </c>
      <c r="M8" s="11">
        <f>1+1/2</f>
        <v>1.5</v>
      </c>
      <c r="N8">
        <v>0</v>
      </c>
      <c r="O8">
        <v>0</v>
      </c>
      <c r="P8" s="5">
        <f t="shared" si="0"/>
        <v>7.3125</v>
      </c>
      <c r="Q8" s="11">
        <v>0</v>
      </c>
      <c r="R8" s="11">
        <v>0</v>
      </c>
      <c r="S8" s="11">
        <v>0</v>
      </c>
      <c r="T8" s="11">
        <f>1+1/2</f>
        <v>1.5</v>
      </c>
      <c r="U8" s="11">
        <v>3</v>
      </c>
      <c r="V8" s="11">
        <v>0</v>
      </c>
      <c r="W8" s="11">
        <v>0</v>
      </c>
      <c r="X8" s="5">
        <f t="shared" si="1"/>
        <v>14.625</v>
      </c>
      <c r="Y8">
        <v>0</v>
      </c>
      <c r="Z8">
        <v>0</v>
      </c>
      <c r="AA8" s="11">
        <v>0</v>
      </c>
      <c r="AB8" s="11">
        <f>4+6/12</f>
        <v>4.5</v>
      </c>
      <c r="AC8" s="11">
        <v>0</v>
      </c>
      <c r="AD8" s="11">
        <v>0</v>
      </c>
      <c r="AE8" s="11">
        <v>0</v>
      </c>
      <c r="AF8" s="11">
        <f t="shared" si="2"/>
        <v>4.5</v>
      </c>
      <c r="AG8">
        <v>0</v>
      </c>
      <c r="AH8">
        <v>0</v>
      </c>
      <c r="AI8" s="5" t="s">
        <v>757</v>
      </c>
    </row>
    <row r="9" spans="1:38" x14ac:dyDescent="0.25">
      <c r="A9">
        <v>181</v>
      </c>
      <c r="B9" t="s">
        <v>250</v>
      </c>
      <c r="C9" t="s">
        <v>197</v>
      </c>
      <c r="D9" t="s">
        <v>219</v>
      </c>
      <c r="E9">
        <v>1342</v>
      </c>
      <c r="F9" t="s">
        <v>198</v>
      </c>
      <c r="G9">
        <v>18</v>
      </c>
      <c r="H9" s="11">
        <v>0</v>
      </c>
      <c r="I9" s="11">
        <v>0</v>
      </c>
      <c r="J9" s="11">
        <v>0</v>
      </c>
      <c r="K9" s="11">
        <v>0</v>
      </c>
      <c r="L9" s="11">
        <v>0</v>
      </c>
      <c r="M9" s="11">
        <f>1/3</f>
        <v>0.33333333333333331</v>
      </c>
      <c r="N9">
        <v>1</v>
      </c>
      <c r="O9">
        <v>0</v>
      </c>
      <c r="P9" s="5">
        <f t="shared" si="0"/>
        <v>4.0625</v>
      </c>
      <c r="Q9" s="11">
        <v>0</v>
      </c>
      <c r="R9" s="11">
        <v>0</v>
      </c>
      <c r="S9" s="11">
        <v>0</v>
      </c>
      <c r="T9" s="23">
        <f>1/2</f>
        <v>0.5</v>
      </c>
      <c r="U9" s="11">
        <f>1/2</f>
        <v>0.5</v>
      </c>
      <c r="V9" s="11">
        <v>0</v>
      </c>
      <c r="W9" s="11">
        <v>0</v>
      </c>
      <c r="X9" s="5">
        <f t="shared" si="1"/>
        <v>3.65625</v>
      </c>
      <c r="Y9">
        <v>0</v>
      </c>
      <c r="Z9">
        <v>0</v>
      </c>
      <c r="AA9" s="11">
        <v>0</v>
      </c>
      <c r="AB9" s="11">
        <f>2+9/12</f>
        <v>2.75</v>
      </c>
      <c r="AC9" s="11">
        <v>1</v>
      </c>
      <c r="AD9" s="11">
        <v>0</v>
      </c>
      <c r="AE9" s="11">
        <v>0</v>
      </c>
      <c r="AF9" s="11">
        <f t="shared" si="2"/>
        <v>2.7708333333333335</v>
      </c>
      <c r="AG9">
        <v>0</v>
      </c>
      <c r="AH9">
        <v>0</v>
      </c>
      <c r="AI9" s="5" t="s">
        <v>1249</v>
      </c>
    </row>
    <row r="10" spans="1:38" x14ac:dyDescent="0.25">
      <c r="A10">
        <v>201</v>
      </c>
      <c r="B10" t="s">
        <v>11</v>
      </c>
      <c r="C10" t="s">
        <v>197</v>
      </c>
      <c r="D10" t="s">
        <v>219</v>
      </c>
      <c r="E10">
        <v>1342</v>
      </c>
      <c r="F10" t="s">
        <v>198</v>
      </c>
      <c r="G10">
        <v>18</v>
      </c>
      <c r="H10" s="11">
        <v>0</v>
      </c>
      <c r="I10" s="11">
        <v>0</v>
      </c>
      <c r="J10" s="11">
        <v>0</v>
      </c>
      <c r="K10" s="11">
        <v>0</v>
      </c>
      <c r="L10" s="11">
        <v>0</v>
      </c>
      <c r="M10" s="11">
        <v>0</v>
      </c>
      <c r="N10" s="11">
        <v>0</v>
      </c>
      <c r="O10">
        <v>0</v>
      </c>
      <c r="P10" s="5">
        <f t="shared" si="0"/>
        <v>0</v>
      </c>
      <c r="Q10" s="11">
        <v>0</v>
      </c>
      <c r="R10" s="11">
        <v>0</v>
      </c>
      <c r="S10" s="11">
        <v>0</v>
      </c>
      <c r="T10" s="11">
        <v>0</v>
      </c>
      <c r="U10" s="11">
        <v>0</v>
      </c>
      <c r="V10" s="11">
        <v>0</v>
      </c>
      <c r="W10" s="11">
        <v>0</v>
      </c>
      <c r="X10" s="5">
        <f t="shared" si="1"/>
        <v>0</v>
      </c>
      <c r="Y10">
        <v>0</v>
      </c>
      <c r="Z10">
        <v>0</v>
      </c>
      <c r="AA10" s="11">
        <v>0</v>
      </c>
      <c r="AB10" s="11">
        <f>2/12</f>
        <v>0.16666666666666666</v>
      </c>
      <c r="AC10" s="11">
        <v>0</v>
      </c>
      <c r="AD10" s="11">
        <v>0</v>
      </c>
      <c r="AE10" s="11">
        <v>0</v>
      </c>
      <c r="AF10" s="11">
        <f t="shared" si="2"/>
        <v>0.16666666666666666</v>
      </c>
      <c r="AG10">
        <v>0</v>
      </c>
      <c r="AH10">
        <v>0</v>
      </c>
      <c r="AI10" s="5" t="s">
        <v>719</v>
      </c>
      <c r="AJ10" t="s">
        <v>150</v>
      </c>
    </row>
    <row r="11" spans="1:38" x14ac:dyDescent="0.25">
      <c r="A11">
        <v>211</v>
      </c>
      <c r="B11" t="s">
        <v>1282</v>
      </c>
      <c r="C11" t="s">
        <v>197</v>
      </c>
      <c r="D11" t="s">
        <v>219</v>
      </c>
      <c r="E11">
        <v>1342</v>
      </c>
      <c r="F11" t="s">
        <v>198</v>
      </c>
      <c r="G11">
        <v>18</v>
      </c>
      <c r="H11" s="11">
        <v>0</v>
      </c>
      <c r="I11" s="11">
        <v>0</v>
      </c>
      <c r="J11" s="11">
        <v>0</v>
      </c>
      <c r="K11" s="11">
        <v>0</v>
      </c>
      <c r="L11" s="11">
        <v>0</v>
      </c>
      <c r="M11" s="11">
        <v>1</v>
      </c>
      <c r="N11" s="11">
        <v>0</v>
      </c>
      <c r="O11">
        <v>0</v>
      </c>
      <c r="P11" s="5">
        <f t="shared" si="0"/>
        <v>4.875</v>
      </c>
      <c r="Q11" s="11">
        <v>0</v>
      </c>
      <c r="R11" s="11">
        <v>0</v>
      </c>
      <c r="S11" s="11">
        <v>0</v>
      </c>
      <c r="T11" s="11">
        <v>0</v>
      </c>
      <c r="U11" s="11">
        <v>0</v>
      </c>
      <c r="V11" s="11">
        <v>0</v>
      </c>
      <c r="W11" s="11">
        <v>0</v>
      </c>
      <c r="X11" s="5">
        <f t="shared" si="1"/>
        <v>0</v>
      </c>
      <c r="Y11">
        <v>0</v>
      </c>
      <c r="Z11">
        <v>0</v>
      </c>
      <c r="AA11" s="11">
        <v>0</v>
      </c>
      <c r="AB11" s="11">
        <v>0</v>
      </c>
      <c r="AC11" s="11">
        <v>0</v>
      </c>
      <c r="AD11" s="11">
        <v>0</v>
      </c>
      <c r="AE11" s="11">
        <v>0</v>
      </c>
      <c r="AF11" s="11">
        <f t="shared" si="2"/>
        <v>0</v>
      </c>
      <c r="AG11">
        <v>0</v>
      </c>
      <c r="AH11">
        <v>0</v>
      </c>
      <c r="AI11" s="5" t="s">
        <v>1207</v>
      </c>
    </row>
    <row r="12" spans="1:38" x14ac:dyDescent="0.25">
      <c r="A12">
        <v>211</v>
      </c>
      <c r="B12" t="s">
        <v>1282</v>
      </c>
      <c r="C12" t="s">
        <v>197</v>
      </c>
      <c r="D12" t="s">
        <v>219</v>
      </c>
      <c r="E12">
        <v>1342</v>
      </c>
      <c r="F12" t="s">
        <v>198</v>
      </c>
      <c r="G12">
        <v>18</v>
      </c>
      <c r="H12" s="11">
        <v>0</v>
      </c>
      <c r="I12" s="11">
        <v>0</v>
      </c>
      <c r="J12" s="11">
        <v>0</v>
      </c>
      <c r="K12" s="11">
        <v>0</v>
      </c>
      <c r="L12" s="11">
        <v>0</v>
      </c>
      <c r="M12" s="11">
        <v>0</v>
      </c>
      <c r="N12" s="11">
        <v>0</v>
      </c>
      <c r="O12">
        <v>0</v>
      </c>
      <c r="P12" s="5">
        <f t="shared" si="0"/>
        <v>0</v>
      </c>
      <c r="Q12" s="11">
        <v>0</v>
      </c>
      <c r="R12" s="11">
        <v>0</v>
      </c>
      <c r="S12" s="11">
        <v>0</v>
      </c>
      <c r="T12" s="11">
        <v>0</v>
      </c>
      <c r="U12" s="11">
        <v>0</v>
      </c>
      <c r="V12" s="11">
        <v>0</v>
      </c>
      <c r="W12" s="11">
        <v>0</v>
      </c>
      <c r="X12" s="5">
        <f t="shared" si="1"/>
        <v>0</v>
      </c>
      <c r="Y12">
        <v>0</v>
      </c>
      <c r="Z12">
        <v>0</v>
      </c>
      <c r="AA12" s="11">
        <v>0</v>
      </c>
      <c r="AB12" s="11">
        <f>2/12</f>
        <v>0.16666666666666666</v>
      </c>
      <c r="AC12" s="11">
        <v>1.5</v>
      </c>
      <c r="AD12" s="11">
        <v>0</v>
      </c>
      <c r="AE12" s="11">
        <v>0</v>
      </c>
      <c r="AF12" s="11">
        <f t="shared" si="2"/>
        <v>0.19791666666666666</v>
      </c>
      <c r="AG12">
        <v>0</v>
      </c>
      <c r="AH12">
        <v>0</v>
      </c>
      <c r="AI12" s="5" t="s">
        <v>1285</v>
      </c>
      <c r="AK12" t="s">
        <v>1290</v>
      </c>
    </row>
    <row r="13" spans="1:38" x14ac:dyDescent="0.25">
      <c r="A13">
        <v>211</v>
      </c>
      <c r="B13" t="s">
        <v>1282</v>
      </c>
      <c r="C13" t="s">
        <v>197</v>
      </c>
      <c r="D13" t="s">
        <v>219</v>
      </c>
      <c r="E13">
        <v>1342</v>
      </c>
      <c r="F13" t="s">
        <v>198</v>
      </c>
      <c r="G13">
        <v>18</v>
      </c>
      <c r="H13" s="11">
        <v>1.5</v>
      </c>
      <c r="I13" s="11">
        <v>0</v>
      </c>
      <c r="J13" s="11">
        <v>0</v>
      </c>
      <c r="K13" s="11">
        <v>0</v>
      </c>
      <c r="L13" s="11">
        <v>0</v>
      </c>
      <c r="M13" s="24">
        <f>1/2</f>
        <v>0.5</v>
      </c>
      <c r="N13" s="11">
        <v>1</v>
      </c>
      <c r="O13">
        <v>0</v>
      </c>
      <c r="P13" s="5">
        <f t="shared" si="0"/>
        <v>4.875</v>
      </c>
      <c r="Q13" s="11">
        <v>0</v>
      </c>
      <c r="R13" s="11">
        <v>0</v>
      </c>
      <c r="S13" s="11">
        <v>0</v>
      </c>
      <c r="T13">
        <f>3.5</f>
        <v>3.5</v>
      </c>
      <c r="U13" s="11">
        <v>0</v>
      </c>
      <c r="V13" s="11">
        <v>0</v>
      </c>
      <c r="W13" s="11">
        <v>0</v>
      </c>
      <c r="X13" s="5">
        <f t="shared" si="1"/>
        <v>17.0625</v>
      </c>
      <c r="Y13">
        <v>0</v>
      </c>
      <c r="Z13">
        <v>0</v>
      </c>
      <c r="AA13" s="11">
        <v>0</v>
      </c>
      <c r="AB13" s="11">
        <f>7+7/12</f>
        <v>7.583333333333333</v>
      </c>
      <c r="AC13" s="11">
        <v>0</v>
      </c>
      <c r="AD13" s="11">
        <v>0</v>
      </c>
      <c r="AE13" s="11">
        <v>0</v>
      </c>
      <c r="AF13" s="11">
        <f t="shared" si="2"/>
        <v>7.583333333333333</v>
      </c>
      <c r="AG13">
        <v>0</v>
      </c>
      <c r="AH13">
        <v>0</v>
      </c>
      <c r="AI13" s="5" t="s">
        <v>1298</v>
      </c>
      <c r="AK13" t="s">
        <v>197</v>
      </c>
    </row>
    <row r="14" spans="1:38" x14ac:dyDescent="0.25">
      <c r="A14">
        <v>221</v>
      </c>
      <c r="B14" t="s">
        <v>138</v>
      </c>
      <c r="C14" t="s">
        <v>197</v>
      </c>
      <c r="D14" t="s">
        <v>219</v>
      </c>
      <c r="E14">
        <v>1342</v>
      </c>
      <c r="F14" t="s">
        <v>198</v>
      </c>
      <c r="G14">
        <v>18</v>
      </c>
      <c r="H14">
        <f>1/2</f>
        <v>0.5</v>
      </c>
      <c r="I14" s="11">
        <v>0</v>
      </c>
      <c r="J14" s="11">
        <v>0</v>
      </c>
      <c r="K14" s="11">
        <v>0</v>
      </c>
      <c r="L14" s="11">
        <v>0</v>
      </c>
      <c r="M14" s="11">
        <v>3</v>
      </c>
      <c r="N14" s="11">
        <v>0</v>
      </c>
      <c r="O14">
        <v>0</v>
      </c>
      <c r="P14" s="5">
        <f t="shared" si="0"/>
        <v>14.625</v>
      </c>
      <c r="Q14" s="11">
        <v>0</v>
      </c>
      <c r="R14" s="11">
        <v>0</v>
      </c>
      <c r="S14" s="11">
        <v>0</v>
      </c>
      <c r="T14" s="11">
        <v>0</v>
      </c>
      <c r="U14" s="11">
        <v>0</v>
      </c>
      <c r="V14" s="11">
        <v>1</v>
      </c>
      <c r="W14" s="11">
        <v>0</v>
      </c>
      <c r="X14" s="5">
        <f t="shared" si="1"/>
        <v>9.75</v>
      </c>
      <c r="Y14">
        <v>0</v>
      </c>
      <c r="Z14">
        <v>0</v>
      </c>
      <c r="AA14" s="11">
        <v>0</v>
      </c>
      <c r="AB14">
        <f>3+10/12</f>
        <v>3.8333333333333335</v>
      </c>
      <c r="AC14" s="11">
        <v>0</v>
      </c>
      <c r="AD14" s="11">
        <v>0</v>
      </c>
      <c r="AE14" s="11">
        <v>0</v>
      </c>
      <c r="AF14" s="11">
        <f t="shared" si="2"/>
        <v>3.8333333333333335</v>
      </c>
      <c r="AG14">
        <v>0</v>
      </c>
      <c r="AH14">
        <v>0</v>
      </c>
      <c r="AI14" s="5" t="s">
        <v>757</v>
      </c>
    </row>
    <row r="15" spans="1:38" x14ac:dyDescent="0.25">
      <c r="A15">
        <v>221</v>
      </c>
      <c r="B15" t="s">
        <v>138</v>
      </c>
      <c r="C15" t="s">
        <v>197</v>
      </c>
      <c r="D15" t="s">
        <v>219</v>
      </c>
      <c r="E15">
        <v>1342</v>
      </c>
      <c r="F15" t="s">
        <v>198</v>
      </c>
      <c r="G15">
        <v>18</v>
      </c>
      <c r="H15" s="11">
        <v>0</v>
      </c>
      <c r="I15" s="11">
        <v>0</v>
      </c>
      <c r="J15" s="11">
        <v>0</v>
      </c>
      <c r="K15" s="11">
        <v>0</v>
      </c>
      <c r="L15" s="11">
        <v>0</v>
      </c>
      <c r="M15" s="11">
        <v>1</v>
      </c>
      <c r="N15" s="11">
        <v>0</v>
      </c>
      <c r="O15">
        <v>0</v>
      </c>
      <c r="P15" s="5">
        <f t="shared" si="0"/>
        <v>4.875</v>
      </c>
      <c r="Q15" s="11">
        <v>0</v>
      </c>
      <c r="R15" s="11">
        <v>0</v>
      </c>
      <c r="S15" s="11">
        <v>0</v>
      </c>
      <c r="T15" s="11">
        <v>0</v>
      </c>
      <c r="U15" s="11">
        <v>0</v>
      </c>
      <c r="V15" s="11">
        <v>0</v>
      </c>
      <c r="W15" s="11">
        <v>0</v>
      </c>
      <c r="X15" s="5">
        <f t="shared" si="1"/>
        <v>0</v>
      </c>
      <c r="Y15">
        <v>0</v>
      </c>
      <c r="Z15">
        <v>0</v>
      </c>
      <c r="AA15" s="11">
        <v>0</v>
      </c>
      <c r="AB15" s="11">
        <v>0</v>
      </c>
      <c r="AC15" s="11">
        <v>0</v>
      </c>
      <c r="AD15" s="11">
        <v>0</v>
      </c>
      <c r="AE15" s="11">
        <v>0</v>
      </c>
      <c r="AF15" s="11">
        <f t="shared" si="2"/>
        <v>0</v>
      </c>
      <c r="AG15">
        <v>0</v>
      </c>
      <c r="AH15">
        <v>0</v>
      </c>
      <c r="AI15" s="5" t="s">
        <v>1308</v>
      </c>
    </row>
    <row r="16" spans="1:38" x14ac:dyDescent="0.25">
      <c r="A16">
        <v>271</v>
      </c>
      <c r="B16" t="s">
        <v>250</v>
      </c>
      <c r="C16" t="s">
        <v>251</v>
      </c>
      <c r="D16" t="s">
        <v>219</v>
      </c>
      <c r="E16">
        <v>1343</v>
      </c>
      <c r="F16" t="s">
        <v>249</v>
      </c>
      <c r="G16">
        <v>2</v>
      </c>
      <c r="H16">
        <v>0</v>
      </c>
      <c r="I16">
        <v>0</v>
      </c>
      <c r="J16">
        <v>1</v>
      </c>
      <c r="K16">
        <v>4</v>
      </c>
      <c r="L16">
        <v>0</v>
      </c>
      <c r="M16">
        <v>0.5</v>
      </c>
      <c r="N16">
        <v>0</v>
      </c>
      <c r="O16">
        <v>0</v>
      </c>
      <c r="P16" s="5">
        <f t="shared" si="0"/>
        <v>168.1875</v>
      </c>
      <c r="Q16">
        <v>0</v>
      </c>
      <c r="R16">
        <v>0</v>
      </c>
      <c r="S16">
        <v>0</v>
      </c>
      <c r="T16">
        <v>0</v>
      </c>
      <c r="U16">
        <v>0</v>
      </c>
      <c r="V16">
        <v>0</v>
      </c>
      <c r="W16">
        <v>0</v>
      </c>
      <c r="X16" s="5">
        <f t="shared" si="1"/>
        <v>0</v>
      </c>
      <c r="Y16">
        <v>0</v>
      </c>
      <c r="Z16">
        <v>0</v>
      </c>
      <c r="AA16">
        <v>0</v>
      </c>
      <c r="AB16">
        <v>0</v>
      </c>
      <c r="AC16">
        <v>0</v>
      </c>
      <c r="AD16" s="11">
        <v>0</v>
      </c>
      <c r="AE16">
        <v>0</v>
      </c>
      <c r="AF16" s="11">
        <f t="shared" si="2"/>
        <v>0</v>
      </c>
      <c r="AG16">
        <v>0</v>
      </c>
      <c r="AH16">
        <v>0</v>
      </c>
      <c r="AI16" t="s">
        <v>284</v>
      </c>
    </row>
    <row r="17" spans="1:38" x14ac:dyDescent="0.25">
      <c r="A17">
        <v>271</v>
      </c>
      <c r="B17" t="s">
        <v>250</v>
      </c>
      <c r="C17" t="s">
        <v>251</v>
      </c>
      <c r="D17" t="s">
        <v>219</v>
      </c>
      <c r="E17">
        <v>1343</v>
      </c>
      <c r="F17" t="s">
        <v>249</v>
      </c>
      <c r="G17">
        <v>2</v>
      </c>
      <c r="H17">
        <v>0</v>
      </c>
      <c r="I17">
        <v>0</v>
      </c>
      <c r="J17">
        <v>0</v>
      </c>
      <c r="K17">
        <v>0</v>
      </c>
      <c r="L17">
        <v>0</v>
      </c>
      <c r="M17">
        <v>0</v>
      </c>
      <c r="N17">
        <v>0</v>
      </c>
      <c r="O17">
        <v>0</v>
      </c>
      <c r="P17" s="5">
        <f t="shared" si="0"/>
        <v>0</v>
      </c>
      <c r="Q17">
        <v>0</v>
      </c>
      <c r="R17">
        <v>2</v>
      </c>
      <c r="S17">
        <v>0</v>
      </c>
      <c r="T17">
        <v>0</v>
      </c>
      <c r="U17">
        <v>1</v>
      </c>
      <c r="V17">
        <v>0</v>
      </c>
      <c r="W17">
        <v>0</v>
      </c>
      <c r="X17" s="5">
        <f t="shared" si="1"/>
        <v>80.4375</v>
      </c>
      <c r="Y17">
        <v>0</v>
      </c>
      <c r="Z17">
        <v>0</v>
      </c>
      <c r="AA17">
        <v>0</v>
      </c>
      <c r="AB17">
        <v>0</v>
      </c>
      <c r="AC17">
        <v>0</v>
      </c>
      <c r="AD17" s="11">
        <v>0</v>
      </c>
      <c r="AE17">
        <v>0</v>
      </c>
      <c r="AF17" s="11">
        <f t="shared" si="2"/>
        <v>0</v>
      </c>
      <c r="AG17">
        <v>0</v>
      </c>
      <c r="AH17">
        <v>0</v>
      </c>
      <c r="AI17" t="s">
        <v>285</v>
      </c>
      <c r="AJ17" t="s">
        <v>234</v>
      </c>
    </row>
    <row r="18" spans="1:38" x14ac:dyDescent="0.25">
      <c r="A18">
        <v>281</v>
      </c>
      <c r="B18" t="s">
        <v>276</v>
      </c>
      <c r="C18" t="s">
        <v>251</v>
      </c>
      <c r="D18" t="s">
        <v>219</v>
      </c>
      <c r="E18">
        <v>1343</v>
      </c>
      <c r="F18" t="s">
        <v>249</v>
      </c>
      <c r="G18">
        <v>3</v>
      </c>
      <c r="H18">
        <v>0</v>
      </c>
      <c r="I18">
        <v>0</v>
      </c>
      <c r="J18">
        <v>0</v>
      </c>
      <c r="K18">
        <v>0</v>
      </c>
      <c r="L18">
        <v>0</v>
      </c>
      <c r="M18">
        <v>0.5</v>
      </c>
      <c r="N18">
        <v>0</v>
      </c>
      <c r="O18">
        <v>0</v>
      </c>
      <c r="P18" s="5">
        <f t="shared" si="0"/>
        <v>2.4375</v>
      </c>
      <c r="Q18">
        <v>0</v>
      </c>
      <c r="R18">
        <v>0</v>
      </c>
      <c r="S18">
        <v>0</v>
      </c>
      <c r="T18">
        <v>0</v>
      </c>
      <c r="U18" s="11">
        <v>0</v>
      </c>
      <c r="V18">
        <v>0</v>
      </c>
      <c r="W18">
        <v>0</v>
      </c>
      <c r="X18" s="5">
        <f t="shared" si="1"/>
        <v>0</v>
      </c>
      <c r="Y18">
        <v>0</v>
      </c>
      <c r="Z18">
        <v>0</v>
      </c>
      <c r="AA18">
        <v>0</v>
      </c>
      <c r="AB18">
        <v>0</v>
      </c>
      <c r="AC18">
        <v>0</v>
      </c>
      <c r="AD18" s="11">
        <v>0</v>
      </c>
      <c r="AE18">
        <v>0</v>
      </c>
      <c r="AF18" s="11">
        <f t="shared" si="2"/>
        <v>0</v>
      </c>
      <c r="AG18">
        <v>0</v>
      </c>
      <c r="AH18">
        <v>0</v>
      </c>
      <c r="AI18" t="s">
        <v>284</v>
      </c>
    </row>
    <row r="19" spans="1:38" x14ac:dyDescent="0.25">
      <c r="A19">
        <v>291</v>
      </c>
      <c r="B19" t="s">
        <v>302</v>
      </c>
      <c r="C19" t="s">
        <v>251</v>
      </c>
      <c r="D19" t="s">
        <v>219</v>
      </c>
      <c r="E19" s="8">
        <v>1343</v>
      </c>
      <c r="F19" s="8" t="s">
        <v>249</v>
      </c>
      <c r="G19" s="8">
        <v>3</v>
      </c>
      <c r="H19">
        <v>0</v>
      </c>
      <c r="I19">
        <v>0</v>
      </c>
      <c r="J19" s="8">
        <v>0</v>
      </c>
      <c r="K19" s="8">
        <v>8</v>
      </c>
      <c r="L19">
        <v>0</v>
      </c>
      <c r="M19" s="8">
        <v>1</v>
      </c>
      <c r="N19">
        <v>0</v>
      </c>
      <c r="O19">
        <v>0</v>
      </c>
      <c r="P19" s="5">
        <f t="shared" si="0"/>
        <v>316.875</v>
      </c>
      <c r="Q19" s="8">
        <v>0</v>
      </c>
      <c r="R19" s="8">
        <v>0</v>
      </c>
      <c r="S19">
        <v>0</v>
      </c>
      <c r="T19" s="8">
        <v>0</v>
      </c>
      <c r="U19" s="11">
        <v>0</v>
      </c>
      <c r="V19" s="8">
        <v>0</v>
      </c>
      <c r="W19">
        <v>0</v>
      </c>
      <c r="X19" s="5">
        <f t="shared" si="1"/>
        <v>0</v>
      </c>
      <c r="Y19">
        <v>0</v>
      </c>
      <c r="Z19">
        <v>0</v>
      </c>
      <c r="AA19">
        <v>0</v>
      </c>
      <c r="AB19" s="8">
        <v>0</v>
      </c>
      <c r="AC19" s="8">
        <v>0</v>
      </c>
      <c r="AD19" s="11">
        <v>0</v>
      </c>
      <c r="AE19">
        <v>0</v>
      </c>
      <c r="AF19" s="11">
        <f t="shared" si="2"/>
        <v>0</v>
      </c>
      <c r="AG19">
        <v>0</v>
      </c>
      <c r="AH19">
        <v>0</v>
      </c>
      <c r="AI19" t="s">
        <v>284</v>
      </c>
    </row>
    <row r="20" spans="1:38" x14ac:dyDescent="0.25">
      <c r="A20">
        <v>291</v>
      </c>
      <c r="B20" t="s">
        <v>302</v>
      </c>
      <c r="C20" t="s">
        <v>251</v>
      </c>
      <c r="D20" t="s">
        <v>219</v>
      </c>
      <c r="E20" s="8">
        <v>1343</v>
      </c>
      <c r="F20" s="8" t="s">
        <v>249</v>
      </c>
      <c r="G20" s="8">
        <v>3</v>
      </c>
      <c r="H20">
        <v>0</v>
      </c>
      <c r="I20">
        <v>0</v>
      </c>
      <c r="J20" s="8">
        <v>0</v>
      </c>
      <c r="K20" s="8">
        <v>0</v>
      </c>
      <c r="L20">
        <v>0</v>
      </c>
      <c r="M20" s="8">
        <v>0</v>
      </c>
      <c r="N20">
        <v>0</v>
      </c>
      <c r="O20">
        <v>0</v>
      </c>
      <c r="P20" s="5">
        <f t="shared" si="0"/>
        <v>0</v>
      </c>
      <c r="Q20" s="8">
        <v>0</v>
      </c>
      <c r="R20" s="8">
        <v>0</v>
      </c>
      <c r="S20">
        <v>0</v>
      </c>
      <c r="T20" s="8">
        <v>0</v>
      </c>
      <c r="U20" s="11">
        <v>0</v>
      </c>
      <c r="V20" s="8">
        <v>0</v>
      </c>
      <c r="W20">
        <v>0</v>
      </c>
      <c r="X20" s="5">
        <f t="shared" si="1"/>
        <v>0</v>
      </c>
      <c r="Y20">
        <v>0</v>
      </c>
      <c r="Z20">
        <v>0</v>
      </c>
      <c r="AA20">
        <v>0</v>
      </c>
      <c r="AB20" s="8">
        <f>1/2</f>
        <v>0.5</v>
      </c>
      <c r="AC20" s="8">
        <v>0</v>
      </c>
      <c r="AD20" s="11">
        <v>0</v>
      </c>
      <c r="AE20">
        <v>0</v>
      </c>
      <c r="AF20" s="11">
        <f t="shared" si="2"/>
        <v>0.5</v>
      </c>
      <c r="AG20">
        <v>0</v>
      </c>
      <c r="AH20">
        <v>0</v>
      </c>
      <c r="AI20" t="s">
        <v>306</v>
      </c>
    </row>
    <row r="21" spans="1:38" x14ac:dyDescent="0.25">
      <c r="A21">
        <v>301</v>
      </c>
      <c r="B21" t="s">
        <v>315</v>
      </c>
      <c r="C21" t="s">
        <v>317</v>
      </c>
      <c r="D21" t="s">
        <v>219</v>
      </c>
      <c r="E21">
        <v>1343</v>
      </c>
      <c r="F21" t="s">
        <v>249</v>
      </c>
      <c r="G21">
        <v>5</v>
      </c>
      <c r="H21">
        <v>0</v>
      </c>
      <c r="I21">
        <v>0</v>
      </c>
      <c r="J21" s="8">
        <v>0</v>
      </c>
      <c r="K21" s="8">
        <v>0</v>
      </c>
      <c r="L21">
        <v>0</v>
      </c>
      <c r="M21" s="8">
        <v>0</v>
      </c>
      <c r="N21">
        <v>0</v>
      </c>
      <c r="O21">
        <v>0</v>
      </c>
      <c r="P21" s="5">
        <f t="shared" si="0"/>
        <v>0</v>
      </c>
      <c r="Q21" s="8">
        <v>0</v>
      </c>
      <c r="R21" s="8">
        <v>0</v>
      </c>
      <c r="S21">
        <v>0</v>
      </c>
      <c r="T21" s="8">
        <v>1</v>
      </c>
      <c r="U21" s="11">
        <v>0</v>
      </c>
      <c r="V21" s="8">
        <v>0</v>
      </c>
      <c r="W21">
        <v>0</v>
      </c>
      <c r="X21" s="5">
        <f t="shared" si="1"/>
        <v>4.875</v>
      </c>
      <c r="Y21">
        <v>0</v>
      </c>
      <c r="Z21">
        <v>0</v>
      </c>
      <c r="AA21">
        <v>0</v>
      </c>
      <c r="AB21" s="10">
        <f>1/3</f>
        <v>0.33333333333333331</v>
      </c>
      <c r="AC21" s="11">
        <v>0</v>
      </c>
      <c r="AD21" s="11">
        <v>0</v>
      </c>
      <c r="AE21">
        <v>0</v>
      </c>
      <c r="AF21" s="11">
        <f t="shared" si="2"/>
        <v>0.33333333333333331</v>
      </c>
      <c r="AG21">
        <v>0</v>
      </c>
      <c r="AH21">
        <v>0</v>
      </c>
      <c r="AI21" t="s">
        <v>327</v>
      </c>
      <c r="AK21" t="s">
        <v>325</v>
      </c>
    </row>
    <row r="22" spans="1:38" x14ac:dyDescent="0.25">
      <c r="A22">
        <v>301</v>
      </c>
      <c r="B22" t="s">
        <v>315</v>
      </c>
      <c r="C22" t="s">
        <v>317</v>
      </c>
      <c r="D22" t="s">
        <v>219</v>
      </c>
      <c r="E22">
        <v>1343</v>
      </c>
      <c r="F22" t="s">
        <v>249</v>
      </c>
      <c r="G22">
        <v>5</v>
      </c>
      <c r="H22">
        <v>0</v>
      </c>
      <c r="I22">
        <v>0</v>
      </c>
      <c r="J22" s="8">
        <v>0</v>
      </c>
      <c r="K22" s="8">
        <v>0</v>
      </c>
      <c r="L22">
        <v>0</v>
      </c>
      <c r="M22" s="8">
        <v>0</v>
      </c>
      <c r="N22">
        <v>0</v>
      </c>
      <c r="O22">
        <v>0</v>
      </c>
      <c r="P22" s="5">
        <f t="shared" si="0"/>
        <v>0</v>
      </c>
      <c r="Q22" s="8">
        <v>0</v>
      </c>
      <c r="R22" s="8">
        <v>0</v>
      </c>
      <c r="S22">
        <v>0</v>
      </c>
      <c r="T22" s="8">
        <v>0</v>
      </c>
      <c r="U22" s="11">
        <v>0</v>
      </c>
      <c r="V22" s="8">
        <v>0</v>
      </c>
      <c r="W22">
        <v>0</v>
      </c>
      <c r="X22" s="5">
        <f t="shared" si="1"/>
        <v>0</v>
      </c>
      <c r="Y22">
        <v>0</v>
      </c>
      <c r="Z22">
        <v>0</v>
      </c>
      <c r="AA22">
        <v>0</v>
      </c>
      <c r="AB22" s="8">
        <v>0</v>
      </c>
      <c r="AC22" s="11">
        <v>3.5</v>
      </c>
      <c r="AD22" s="11">
        <v>0</v>
      </c>
      <c r="AE22">
        <v>0</v>
      </c>
      <c r="AF22" s="11">
        <f t="shared" si="2"/>
        <v>7.2916666666666671E-2</v>
      </c>
      <c r="AG22">
        <v>0</v>
      </c>
      <c r="AH22">
        <v>0</v>
      </c>
      <c r="AI22" t="s">
        <v>708</v>
      </c>
      <c r="AJ22" t="s">
        <v>837</v>
      </c>
      <c r="AK22" s="8" t="s">
        <v>332</v>
      </c>
    </row>
    <row r="23" spans="1:38" x14ac:dyDescent="0.25">
      <c r="A23">
        <v>311</v>
      </c>
      <c r="B23" t="s">
        <v>11</v>
      </c>
      <c r="C23" t="s">
        <v>341</v>
      </c>
      <c r="D23" t="s">
        <v>219</v>
      </c>
      <c r="E23">
        <v>1343</v>
      </c>
      <c r="F23" t="s">
        <v>249</v>
      </c>
      <c r="G23">
        <v>5</v>
      </c>
      <c r="H23">
        <v>0</v>
      </c>
      <c r="I23">
        <v>0</v>
      </c>
      <c r="J23" s="8">
        <v>0</v>
      </c>
      <c r="K23" s="8">
        <v>0</v>
      </c>
      <c r="L23">
        <v>0</v>
      </c>
      <c r="M23">
        <f>1/3</f>
        <v>0.33333333333333331</v>
      </c>
      <c r="N23">
        <v>0</v>
      </c>
      <c r="O23">
        <v>0</v>
      </c>
      <c r="P23" s="5">
        <f t="shared" si="0"/>
        <v>1.625</v>
      </c>
      <c r="Q23" s="8">
        <v>0</v>
      </c>
      <c r="R23" s="8">
        <v>0</v>
      </c>
      <c r="S23">
        <v>0</v>
      </c>
      <c r="T23" s="8">
        <v>0</v>
      </c>
      <c r="U23" s="11">
        <v>0</v>
      </c>
      <c r="V23" s="8">
        <v>0</v>
      </c>
      <c r="W23">
        <v>0</v>
      </c>
      <c r="X23" s="5">
        <f t="shared" si="1"/>
        <v>0</v>
      </c>
      <c r="Y23">
        <v>0</v>
      </c>
      <c r="Z23">
        <v>0</v>
      </c>
      <c r="AA23">
        <v>0</v>
      </c>
      <c r="AB23" s="8">
        <v>0</v>
      </c>
      <c r="AC23" s="11">
        <v>0</v>
      </c>
      <c r="AD23" s="11">
        <v>0</v>
      </c>
      <c r="AE23">
        <v>0</v>
      </c>
      <c r="AF23" s="11">
        <f t="shared" si="2"/>
        <v>0</v>
      </c>
      <c r="AG23">
        <v>0</v>
      </c>
      <c r="AH23">
        <v>0</v>
      </c>
      <c r="AI23" t="s">
        <v>284</v>
      </c>
    </row>
    <row r="24" spans="1:38" x14ac:dyDescent="0.25">
      <c r="A24">
        <v>311</v>
      </c>
      <c r="B24" t="s">
        <v>11</v>
      </c>
      <c r="C24" t="s">
        <v>341</v>
      </c>
      <c r="D24" t="s">
        <v>219</v>
      </c>
      <c r="E24">
        <v>1343</v>
      </c>
      <c r="F24" t="s">
        <v>249</v>
      </c>
      <c r="G24">
        <v>5</v>
      </c>
      <c r="H24">
        <v>0</v>
      </c>
      <c r="I24">
        <v>0</v>
      </c>
      <c r="J24" s="8">
        <v>0</v>
      </c>
      <c r="K24" s="8">
        <v>0</v>
      </c>
      <c r="L24">
        <v>0</v>
      </c>
      <c r="M24" s="8">
        <v>0</v>
      </c>
      <c r="N24">
        <v>0</v>
      </c>
      <c r="O24">
        <v>0</v>
      </c>
      <c r="P24" s="5">
        <f t="shared" si="0"/>
        <v>0</v>
      </c>
      <c r="Q24" s="8">
        <v>0</v>
      </c>
      <c r="R24" s="8">
        <v>0</v>
      </c>
      <c r="S24">
        <v>0</v>
      </c>
      <c r="T24" s="8">
        <v>0</v>
      </c>
      <c r="U24" s="11">
        <v>0</v>
      </c>
      <c r="V24" s="8">
        <v>0</v>
      </c>
      <c r="W24">
        <v>0</v>
      </c>
      <c r="X24" s="5">
        <f t="shared" si="1"/>
        <v>0</v>
      </c>
      <c r="Y24">
        <v>0</v>
      </c>
      <c r="Z24">
        <v>0</v>
      </c>
      <c r="AA24" s="11">
        <v>0</v>
      </c>
      <c r="AB24" s="8">
        <v>0</v>
      </c>
      <c r="AC24" s="11">
        <v>0</v>
      </c>
      <c r="AD24" s="11">
        <v>0</v>
      </c>
      <c r="AE24" s="11">
        <f>1+1/6</f>
        <v>1.1666666666666667</v>
      </c>
      <c r="AF24" s="11">
        <f t="shared" si="2"/>
        <v>2.4305555555555556E-2</v>
      </c>
      <c r="AG24">
        <v>0</v>
      </c>
      <c r="AH24">
        <v>0</v>
      </c>
      <c r="AI24" t="s">
        <v>155</v>
      </c>
    </row>
    <row r="25" spans="1:38" x14ac:dyDescent="0.25">
      <c r="A25">
        <v>311</v>
      </c>
      <c r="B25" t="s">
        <v>11</v>
      </c>
      <c r="C25" t="s">
        <v>341</v>
      </c>
      <c r="D25" t="s">
        <v>219</v>
      </c>
      <c r="E25">
        <v>1343</v>
      </c>
      <c r="F25" t="s">
        <v>249</v>
      </c>
      <c r="G25">
        <v>5</v>
      </c>
      <c r="H25">
        <v>0</v>
      </c>
      <c r="I25">
        <v>0</v>
      </c>
      <c r="J25" s="8">
        <v>0</v>
      </c>
      <c r="K25" s="8">
        <v>0</v>
      </c>
      <c r="L25">
        <v>0</v>
      </c>
      <c r="M25" s="8">
        <v>0</v>
      </c>
      <c r="N25">
        <v>0</v>
      </c>
      <c r="O25">
        <v>0</v>
      </c>
      <c r="P25" s="5">
        <f t="shared" si="0"/>
        <v>0</v>
      </c>
      <c r="Q25" s="8">
        <v>0</v>
      </c>
      <c r="R25" s="8">
        <v>0</v>
      </c>
      <c r="S25">
        <v>0</v>
      </c>
      <c r="T25" s="8">
        <v>0</v>
      </c>
      <c r="U25" s="11">
        <v>0</v>
      </c>
      <c r="V25" s="8">
        <v>0</v>
      </c>
      <c r="W25">
        <v>0</v>
      </c>
      <c r="X25" s="5">
        <f t="shared" si="1"/>
        <v>0</v>
      </c>
      <c r="Y25">
        <v>0</v>
      </c>
      <c r="Z25">
        <v>0</v>
      </c>
      <c r="AA25" s="11">
        <v>0.5</v>
      </c>
      <c r="AB25" s="8">
        <v>0</v>
      </c>
      <c r="AC25" s="11">
        <v>0</v>
      </c>
      <c r="AD25" s="11">
        <v>1</v>
      </c>
      <c r="AE25" s="11">
        <f>1/6</f>
        <v>0.16666666666666666</v>
      </c>
      <c r="AF25" s="11">
        <f t="shared" si="2"/>
        <v>4.5138888888888888E-2</v>
      </c>
      <c r="AG25">
        <v>0</v>
      </c>
      <c r="AH25">
        <v>0</v>
      </c>
      <c r="AI25" t="s">
        <v>352</v>
      </c>
    </row>
    <row r="26" spans="1:38" x14ac:dyDescent="0.25">
      <c r="A26">
        <v>321</v>
      </c>
      <c r="B26" t="s">
        <v>357</v>
      </c>
      <c r="C26" t="s">
        <v>341</v>
      </c>
      <c r="D26" t="s">
        <v>220</v>
      </c>
      <c r="E26">
        <v>1343</v>
      </c>
      <c r="F26" t="s">
        <v>249</v>
      </c>
      <c r="G26">
        <v>5</v>
      </c>
      <c r="H26">
        <v>0</v>
      </c>
      <c r="I26">
        <v>0</v>
      </c>
      <c r="J26" s="8">
        <v>0</v>
      </c>
      <c r="K26" s="8">
        <v>0</v>
      </c>
      <c r="L26">
        <v>0</v>
      </c>
      <c r="M26" s="8">
        <f>1/2</f>
        <v>0.5</v>
      </c>
      <c r="N26">
        <v>0</v>
      </c>
      <c r="O26">
        <v>0</v>
      </c>
      <c r="P26" s="5">
        <f t="shared" si="0"/>
        <v>2.4375</v>
      </c>
      <c r="Q26" s="8">
        <v>0</v>
      </c>
      <c r="R26" s="8">
        <v>0</v>
      </c>
      <c r="S26">
        <v>0</v>
      </c>
      <c r="T26" s="8">
        <v>0</v>
      </c>
      <c r="U26" s="11">
        <v>0</v>
      </c>
      <c r="V26" s="8">
        <v>0</v>
      </c>
      <c r="W26">
        <v>0</v>
      </c>
      <c r="X26" s="5">
        <f t="shared" si="1"/>
        <v>0</v>
      </c>
      <c r="Y26">
        <v>0</v>
      </c>
      <c r="Z26">
        <v>0</v>
      </c>
      <c r="AA26" s="11">
        <v>0</v>
      </c>
      <c r="AB26" s="11">
        <v>0</v>
      </c>
      <c r="AC26" s="11">
        <v>0</v>
      </c>
      <c r="AD26" s="11">
        <v>0</v>
      </c>
      <c r="AE26" s="11">
        <v>0</v>
      </c>
      <c r="AF26" s="11">
        <f t="shared" si="2"/>
        <v>0</v>
      </c>
      <c r="AG26">
        <v>0</v>
      </c>
      <c r="AH26">
        <v>0</v>
      </c>
      <c r="AI26" t="s">
        <v>284</v>
      </c>
    </row>
    <row r="27" spans="1:38" x14ac:dyDescent="0.25">
      <c r="A27">
        <v>321</v>
      </c>
      <c r="B27" t="s">
        <v>357</v>
      </c>
      <c r="C27" t="s">
        <v>341</v>
      </c>
      <c r="D27" t="s">
        <v>220</v>
      </c>
      <c r="E27">
        <v>1343</v>
      </c>
      <c r="F27" t="s">
        <v>249</v>
      </c>
      <c r="G27">
        <v>5</v>
      </c>
      <c r="H27">
        <v>0</v>
      </c>
      <c r="I27">
        <v>0</v>
      </c>
      <c r="J27" s="8">
        <v>0</v>
      </c>
      <c r="K27" s="8">
        <v>0</v>
      </c>
      <c r="L27">
        <v>0</v>
      </c>
      <c r="M27" s="8">
        <v>0</v>
      </c>
      <c r="N27">
        <v>0</v>
      </c>
      <c r="O27">
        <v>0</v>
      </c>
      <c r="P27" s="5">
        <f t="shared" si="0"/>
        <v>0</v>
      </c>
      <c r="Q27" s="8">
        <v>0</v>
      </c>
      <c r="R27" s="8">
        <v>0</v>
      </c>
      <c r="S27">
        <v>0</v>
      </c>
      <c r="T27" s="8">
        <v>0</v>
      </c>
      <c r="U27" s="11">
        <v>0</v>
      </c>
      <c r="V27" s="8">
        <v>0</v>
      </c>
      <c r="W27">
        <v>0</v>
      </c>
      <c r="X27" s="5">
        <f t="shared" si="1"/>
        <v>0</v>
      </c>
      <c r="Y27">
        <v>0</v>
      </c>
      <c r="Z27">
        <v>0</v>
      </c>
      <c r="AA27" s="11">
        <v>0</v>
      </c>
      <c r="AB27" s="11">
        <v>0</v>
      </c>
      <c r="AC27" s="11">
        <v>0</v>
      </c>
      <c r="AD27" s="11">
        <v>0</v>
      </c>
      <c r="AE27" s="11">
        <f>2 + 1/2</f>
        <v>2.5</v>
      </c>
      <c r="AF27" s="11">
        <f t="shared" si="2"/>
        <v>5.2083333333333336E-2</v>
      </c>
      <c r="AG27">
        <v>0</v>
      </c>
      <c r="AH27">
        <v>0</v>
      </c>
      <c r="AI27" t="s">
        <v>155</v>
      </c>
    </row>
    <row r="28" spans="1:38" x14ac:dyDescent="0.25">
      <c r="A28">
        <v>321</v>
      </c>
      <c r="B28" t="s">
        <v>357</v>
      </c>
      <c r="C28" t="s">
        <v>341</v>
      </c>
      <c r="D28" t="s">
        <v>220</v>
      </c>
      <c r="E28">
        <v>1343</v>
      </c>
      <c r="F28" t="s">
        <v>249</v>
      </c>
      <c r="G28">
        <v>5</v>
      </c>
      <c r="H28">
        <v>0</v>
      </c>
      <c r="I28">
        <v>0</v>
      </c>
      <c r="J28" s="8">
        <v>0</v>
      </c>
      <c r="K28" s="8">
        <v>0</v>
      </c>
      <c r="L28">
        <v>0</v>
      </c>
      <c r="M28" s="8">
        <v>0</v>
      </c>
      <c r="N28">
        <v>0</v>
      </c>
      <c r="O28">
        <v>0</v>
      </c>
      <c r="P28" s="5">
        <f t="shared" si="0"/>
        <v>0</v>
      </c>
      <c r="Q28" s="8">
        <v>0</v>
      </c>
      <c r="R28" s="8">
        <v>0</v>
      </c>
      <c r="S28">
        <v>0</v>
      </c>
      <c r="T28" s="8">
        <v>0</v>
      </c>
      <c r="U28" s="11">
        <v>0</v>
      </c>
      <c r="V28" s="8">
        <v>0</v>
      </c>
      <c r="W28">
        <v>0</v>
      </c>
      <c r="X28" s="5">
        <f t="shared" si="1"/>
        <v>0</v>
      </c>
      <c r="Y28">
        <v>0</v>
      </c>
      <c r="Z28">
        <v>0</v>
      </c>
      <c r="AA28" s="11">
        <v>0</v>
      </c>
      <c r="AB28" s="11">
        <f>1/12</f>
        <v>8.3333333333333329E-2</v>
      </c>
      <c r="AC28" s="11">
        <v>0</v>
      </c>
      <c r="AD28" s="11">
        <v>0</v>
      </c>
      <c r="AE28" s="11">
        <f>1+1/4</f>
        <v>1.25</v>
      </c>
      <c r="AF28" s="11">
        <f t="shared" si="2"/>
        <v>0.109375</v>
      </c>
      <c r="AG28">
        <v>0</v>
      </c>
      <c r="AH28">
        <v>0</v>
      </c>
      <c r="AI28" t="s">
        <v>352</v>
      </c>
    </row>
    <row r="29" spans="1:38" x14ac:dyDescent="0.25">
      <c r="A29">
        <v>331</v>
      </c>
      <c r="B29" t="s">
        <v>375</v>
      </c>
      <c r="C29" t="s">
        <v>105</v>
      </c>
      <c r="D29" t="s">
        <v>219</v>
      </c>
      <c r="E29">
        <v>1343</v>
      </c>
      <c r="F29" t="s">
        <v>249</v>
      </c>
      <c r="G29">
        <v>5</v>
      </c>
      <c r="H29">
        <v>0</v>
      </c>
      <c r="I29">
        <v>0</v>
      </c>
      <c r="J29" s="8">
        <v>0</v>
      </c>
      <c r="K29" s="8">
        <v>0</v>
      </c>
      <c r="L29">
        <v>0</v>
      </c>
      <c r="M29" s="8">
        <v>1</v>
      </c>
      <c r="N29">
        <v>0</v>
      </c>
      <c r="O29">
        <v>0</v>
      </c>
      <c r="P29" s="5">
        <f t="shared" si="0"/>
        <v>4.875</v>
      </c>
      <c r="Q29" s="8">
        <v>0</v>
      </c>
      <c r="R29" s="8">
        <v>0</v>
      </c>
      <c r="S29">
        <v>0</v>
      </c>
      <c r="T29" s="8">
        <v>0</v>
      </c>
      <c r="U29" s="11">
        <v>0</v>
      </c>
      <c r="V29" s="8">
        <v>0</v>
      </c>
      <c r="W29">
        <v>0</v>
      </c>
      <c r="X29" s="5">
        <f t="shared" si="1"/>
        <v>0</v>
      </c>
      <c r="Y29">
        <v>0</v>
      </c>
      <c r="Z29">
        <v>0</v>
      </c>
      <c r="AA29" s="11">
        <v>0</v>
      </c>
      <c r="AB29" s="11">
        <v>0</v>
      </c>
      <c r="AC29" s="11">
        <v>0</v>
      </c>
      <c r="AD29" s="11">
        <v>0</v>
      </c>
      <c r="AE29" s="11">
        <v>0</v>
      </c>
      <c r="AF29" s="11">
        <f t="shared" si="2"/>
        <v>0</v>
      </c>
      <c r="AG29">
        <v>0</v>
      </c>
      <c r="AH29">
        <v>0</v>
      </c>
      <c r="AI29" t="s">
        <v>284</v>
      </c>
    </row>
    <row r="30" spans="1:38" x14ac:dyDescent="0.25">
      <c r="A30">
        <v>341</v>
      </c>
      <c r="B30" t="s">
        <v>104</v>
      </c>
      <c r="C30" t="s">
        <v>105</v>
      </c>
      <c r="D30" t="s">
        <v>219</v>
      </c>
      <c r="E30">
        <v>1343</v>
      </c>
      <c r="F30" t="s">
        <v>249</v>
      </c>
      <c r="G30">
        <v>6</v>
      </c>
      <c r="H30">
        <v>0</v>
      </c>
      <c r="I30">
        <v>0</v>
      </c>
      <c r="J30" s="8">
        <v>0</v>
      </c>
      <c r="K30" s="8">
        <v>0</v>
      </c>
      <c r="L30">
        <v>0</v>
      </c>
      <c r="M30">
        <f>1/3</f>
        <v>0.33333333333333331</v>
      </c>
      <c r="N30">
        <v>0</v>
      </c>
      <c r="O30">
        <v>0</v>
      </c>
      <c r="P30" s="5">
        <f t="shared" si="0"/>
        <v>1.625</v>
      </c>
      <c r="Q30" s="8">
        <v>0</v>
      </c>
      <c r="R30" s="8">
        <v>0</v>
      </c>
      <c r="S30">
        <v>0</v>
      </c>
      <c r="T30" s="8">
        <v>0</v>
      </c>
      <c r="U30" s="11">
        <v>0</v>
      </c>
      <c r="V30" s="8">
        <v>0</v>
      </c>
      <c r="W30">
        <v>0</v>
      </c>
      <c r="X30" s="5">
        <f t="shared" si="1"/>
        <v>0</v>
      </c>
      <c r="Y30">
        <v>0</v>
      </c>
      <c r="Z30">
        <v>0</v>
      </c>
      <c r="AA30" s="11">
        <v>0</v>
      </c>
      <c r="AB30" s="11">
        <v>0</v>
      </c>
      <c r="AC30" s="11">
        <v>0</v>
      </c>
      <c r="AD30" s="11">
        <v>0</v>
      </c>
      <c r="AE30" s="11">
        <v>0</v>
      </c>
      <c r="AF30" s="11">
        <f t="shared" si="2"/>
        <v>0</v>
      </c>
      <c r="AG30">
        <v>0</v>
      </c>
      <c r="AH30">
        <v>0</v>
      </c>
      <c r="AI30" t="s">
        <v>284</v>
      </c>
    </row>
    <row r="31" spans="1:38" x14ac:dyDescent="0.25">
      <c r="A31">
        <v>422</v>
      </c>
      <c r="B31" t="s">
        <v>39</v>
      </c>
      <c r="C31" t="s">
        <v>446</v>
      </c>
      <c r="D31" t="s">
        <v>219</v>
      </c>
      <c r="E31">
        <v>1343</v>
      </c>
      <c r="F31" t="s">
        <v>198</v>
      </c>
      <c r="G31">
        <v>29</v>
      </c>
      <c r="H31">
        <v>0</v>
      </c>
      <c r="I31">
        <v>0</v>
      </c>
      <c r="J31" s="8">
        <v>0</v>
      </c>
      <c r="K31" s="8">
        <v>0</v>
      </c>
      <c r="L31">
        <v>0</v>
      </c>
      <c r="M31">
        <v>1</v>
      </c>
      <c r="N31">
        <v>0</v>
      </c>
      <c r="O31">
        <v>0</v>
      </c>
      <c r="P31" s="5">
        <f t="shared" si="0"/>
        <v>4.875</v>
      </c>
      <c r="Q31" s="8">
        <v>0</v>
      </c>
      <c r="R31" s="8">
        <v>0</v>
      </c>
      <c r="S31">
        <v>0</v>
      </c>
      <c r="T31" s="8">
        <v>0</v>
      </c>
      <c r="U31" s="11">
        <v>0</v>
      </c>
      <c r="V31" s="8">
        <v>0</v>
      </c>
      <c r="W31">
        <v>0</v>
      </c>
      <c r="X31" s="5">
        <f t="shared" si="1"/>
        <v>0</v>
      </c>
      <c r="Y31">
        <v>0</v>
      </c>
      <c r="Z31">
        <v>0</v>
      </c>
      <c r="AA31" s="11">
        <v>0</v>
      </c>
      <c r="AB31" s="11">
        <v>0</v>
      </c>
      <c r="AC31" s="11">
        <v>0</v>
      </c>
      <c r="AD31" s="11">
        <v>0</v>
      </c>
      <c r="AE31" s="11">
        <v>0</v>
      </c>
      <c r="AF31" s="11">
        <f t="shared" si="2"/>
        <v>0</v>
      </c>
      <c r="AG31">
        <v>0</v>
      </c>
      <c r="AH31">
        <v>0</v>
      </c>
      <c r="AI31" t="s">
        <v>714</v>
      </c>
      <c r="AJ31" t="s">
        <v>713</v>
      </c>
    </row>
    <row r="32" spans="1:38" x14ac:dyDescent="0.25">
      <c r="A32">
        <v>441</v>
      </c>
      <c r="B32" t="s">
        <v>465</v>
      </c>
      <c r="C32" t="s">
        <v>111</v>
      </c>
      <c r="D32" t="s">
        <v>219</v>
      </c>
      <c r="E32">
        <v>1343</v>
      </c>
      <c r="F32" t="s">
        <v>249</v>
      </c>
      <c r="G32">
        <v>2</v>
      </c>
      <c r="H32">
        <v>1</v>
      </c>
      <c r="I32">
        <v>0</v>
      </c>
      <c r="J32" s="8">
        <v>0</v>
      </c>
      <c r="K32" s="8">
        <v>0</v>
      </c>
      <c r="L32">
        <v>0</v>
      </c>
      <c r="M32" s="8">
        <v>0</v>
      </c>
      <c r="N32">
        <v>0</v>
      </c>
      <c r="O32">
        <v>0</v>
      </c>
      <c r="P32" s="5">
        <f t="shared" si="0"/>
        <v>0</v>
      </c>
      <c r="Q32" s="8">
        <v>0</v>
      </c>
      <c r="R32" s="8">
        <v>0</v>
      </c>
      <c r="S32">
        <v>0</v>
      </c>
      <c r="T32" s="8">
        <v>0</v>
      </c>
      <c r="U32" s="11">
        <v>0</v>
      </c>
      <c r="V32" s="8">
        <v>0</v>
      </c>
      <c r="W32">
        <v>0</v>
      </c>
      <c r="X32" s="5">
        <f t="shared" si="1"/>
        <v>0</v>
      </c>
      <c r="Y32">
        <v>0</v>
      </c>
      <c r="Z32">
        <v>0</v>
      </c>
      <c r="AA32" s="11">
        <v>0</v>
      </c>
      <c r="AB32" s="11">
        <v>0</v>
      </c>
      <c r="AC32" s="11">
        <v>0</v>
      </c>
      <c r="AD32" s="11">
        <v>0</v>
      </c>
      <c r="AE32" s="11">
        <v>0</v>
      </c>
      <c r="AF32" s="11">
        <f t="shared" si="2"/>
        <v>0</v>
      </c>
      <c r="AG32">
        <v>0</v>
      </c>
      <c r="AH32">
        <v>0</v>
      </c>
      <c r="AI32" t="s">
        <v>835</v>
      </c>
      <c r="AL32" t="s">
        <v>836</v>
      </c>
    </row>
    <row r="33" spans="1:38" x14ac:dyDescent="0.25">
      <c r="A33">
        <v>441</v>
      </c>
      <c r="B33" t="s">
        <v>465</v>
      </c>
      <c r="C33" t="s">
        <v>111</v>
      </c>
      <c r="D33" t="s">
        <v>219</v>
      </c>
      <c r="E33">
        <v>1343</v>
      </c>
      <c r="F33" t="s">
        <v>249</v>
      </c>
      <c r="G33">
        <v>2</v>
      </c>
      <c r="H33">
        <v>0</v>
      </c>
      <c r="I33">
        <v>0</v>
      </c>
      <c r="J33" s="8">
        <v>0</v>
      </c>
      <c r="K33" s="8">
        <v>0</v>
      </c>
      <c r="L33">
        <v>0</v>
      </c>
      <c r="M33" s="8">
        <v>0</v>
      </c>
      <c r="N33">
        <v>0</v>
      </c>
      <c r="O33">
        <v>0</v>
      </c>
      <c r="P33" s="5">
        <f t="shared" si="0"/>
        <v>0</v>
      </c>
      <c r="Q33" s="8">
        <v>0</v>
      </c>
      <c r="R33" s="8">
        <v>0</v>
      </c>
      <c r="S33">
        <v>0</v>
      </c>
      <c r="T33" s="8">
        <v>0</v>
      </c>
      <c r="U33" s="11">
        <v>0</v>
      </c>
      <c r="V33" s="8">
        <v>0</v>
      </c>
      <c r="W33">
        <v>0</v>
      </c>
      <c r="X33" s="5">
        <f t="shared" si="1"/>
        <v>0</v>
      </c>
      <c r="Y33">
        <v>0</v>
      </c>
      <c r="Z33">
        <v>0</v>
      </c>
      <c r="AA33" s="11">
        <v>0</v>
      </c>
      <c r="AB33" s="11">
        <v>0</v>
      </c>
      <c r="AC33" s="11">
        <v>0</v>
      </c>
      <c r="AD33" s="11">
        <v>0</v>
      </c>
      <c r="AE33" s="11">
        <v>0</v>
      </c>
      <c r="AF33" s="11">
        <f t="shared" si="2"/>
        <v>0</v>
      </c>
      <c r="AG33">
        <v>0</v>
      </c>
      <c r="AH33">
        <v>0</v>
      </c>
      <c r="AI33" t="s">
        <v>485</v>
      </c>
      <c r="AJ33" t="s">
        <v>713</v>
      </c>
    </row>
    <row r="34" spans="1:38" x14ac:dyDescent="0.25">
      <c r="A34">
        <v>483</v>
      </c>
      <c r="B34" t="s">
        <v>50</v>
      </c>
      <c r="C34" t="s">
        <v>59</v>
      </c>
      <c r="D34" t="s">
        <v>219</v>
      </c>
      <c r="E34" s="16">
        <v>1343</v>
      </c>
      <c r="F34" s="16" t="s">
        <v>522</v>
      </c>
      <c r="G34" s="16">
        <v>4</v>
      </c>
      <c r="H34">
        <v>0</v>
      </c>
      <c r="I34">
        <v>0</v>
      </c>
      <c r="J34" s="8">
        <v>0</v>
      </c>
      <c r="K34" s="8">
        <v>0</v>
      </c>
      <c r="L34">
        <v>0</v>
      </c>
      <c r="M34">
        <f>1/2</f>
        <v>0.5</v>
      </c>
      <c r="N34">
        <v>0</v>
      </c>
      <c r="O34">
        <v>0</v>
      </c>
      <c r="P34" s="5">
        <f t="shared" si="0"/>
        <v>2.4375</v>
      </c>
      <c r="Q34" s="8">
        <v>0</v>
      </c>
      <c r="R34" s="8">
        <v>0</v>
      </c>
      <c r="S34">
        <v>0</v>
      </c>
      <c r="T34" s="8">
        <v>0.5</v>
      </c>
      <c r="U34" s="11">
        <v>0</v>
      </c>
      <c r="V34" s="8">
        <v>0</v>
      </c>
      <c r="W34">
        <v>0</v>
      </c>
      <c r="X34" s="5">
        <f t="shared" si="1"/>
        <v>2.4375</v>
      </c>
      <c r="Y34">
        <v>0</v>
      </c>
      <c r="Z34">
        <v>0</v>
      </c>
      <c r="AA34" s="11">
        <v>0</v>
      </c>
      <c r="AB34" s="11">
        <f>6/12</f>
        <v>0.5</v>
      </c>
      <c r="AC34" s="11">
        <v>0</v>
      </c>
      <c r="AD34" s="11">
        <v>0</v>
      </c>
      <c r="AE34" s="11">
        <v>0</v>
      </c>
      <c r="AF34" s="11">
        <f t="shared" si="2"/>
        <v>0.5</v>
      </c>
      <c r="AG34">
        <v>0</v>
      </c>
      <c r="AH34">
        <v>0</v>
      </c>
      <c r="AI34" t="s">
        <v>719</v>
      </c>
      <c r="AJ34" t="s">
        <v>823</v>
      </c>
      <c r="AL34" t="s">
        <v>527</v>
      </c>
    </row>
    <row r="35" spans="1:38" x14ac:dyDescent="0.25">
      <c r="A35">
        <v>484</v>
      </c>
      <c r="B35" t="s">
        <v>39</v>
      </c>
      <c r="C35" t="s">
        <v>528</v>
      </c>
      <c r="D35" t="s">
        <v>219</v>
      </c>
      <c r="E35" s="16">
        <v>1343</v>
      </c>
      <c r="F35" s="16" t="s">
        <v>522</v>
      </c>
      <c r="G35" s="16">
        <v>4</v>
      </c>
      <c r="H35">
        <v>0</v>
      </c>
      <c r="I35">
        <v>0</v>
      </c>
      <c r="J35" s="8">
        <v>0</v>
      </c>
      <c r="K35" s="8">
        <v>0</v>
      </c>
      <c r="L35">
        <v>0</v>
      </c>
      <c r="M35" s="8">
        <v>0</v>
      </c>
      <c r="N35">
        <v>0</v>
      </c>
      <c r="O35">
        <v>0</v>
      </c>
      <c r="P35" s="5">
        <f t="shared" si="0"/>
        <v>0</v>
      </c>
      <c r="Q35" s="8">
        <v>0</v>
      </c>
      <c r="R35" s="8">
        <v>0</v>
      </c>
      <c r="S35">
        <v>0</v>
      </c>
      <c r="T35" s="8">
        <v>0</v>
      </c>
      <c r="U35" s="11">
        <v>0</v>
      </c>
      <c r="V35" s="8">
        <v>0</v>
      </c>
      <c r="W35">
        <v>0</v>
      </c>
      <c r="X35" s="5">
        <f t="shared" si="1"/>
        <v>0</v>
      </c>
      <c r="Y35">
        <v>0</v>
      </c>
      <c r="Z35">
        <v>0</v>
      </c>
      <c r="AA35" s="11">
        <v>0</v>
      </c>
      <c r="AB35">
        <f>8/12</f>
        <v>0.66666666666666663</v>
      </c>
      <c r="AC35" s="11">
        <v>0</v>
      </c>
      <c r="AD35" s="11">
        <v>0</v>
      </c>
      <c r="AE35" s="11">
        <v>0</v>
      </c>
      <c r="AF35" s="11">
        <f t="shared" si="2"/>
        <v>0.66666666666666663</v>
      </c>
      <c r="AG35">
        <v>0</v>
      </c>
      <c r="AH35">
        <v>0</v>
      </c>
      <c r="AI35" t="s">
        <v>826</v>
      </c>
      <c r="AK35" t="s">
        <v>530</v>
      </c>
      <c r="AL35" t="s">
        <v>529</v>
      </c>
    </row>
    <row r="36" spans="1:38" x14ac:dyDescent="0.25">
      <c r="A36">
        <v>485</v>
      </c>
      <c r="B36" t="s">
        <v>531</v>
      </c>
      <c r="D36" t="s">
        <v>219</v>
      </c>
      <c r="E36" s="16">
        <v>1343</v>
      </c>
      <c r="F36" s="16" t="s">
        <v>522</v>
      </c>
      <c r="G36" s="16">
        <v>4</v>
      </c>
      <c r="H36">
        <v>0</v>
      </c>
      <c r="I36">
        <v>0</v>
      </c>
      <c r="J36" s="8">
        <v>0</v>
      </c>
      <c r="K36" s="8">
        <v>0</v>
      </c>
      <c r="L36">
        <v>0</v>
      </c>
      <c r="M36" s="8">
        <v>0</v>
      </c>
      <c r="N36">
        <v>0</v>
      </c>
      <c r="O36">
        <v>0</v>
      </c>
      <c r="P36" s="5">
        <f t="shared" si="0"/>
        <v>0</v>
      </c>
      <c r="Q36" s="8">
        <v>0</v>
      </c>
      <c r="R36" s="8">
        <v>0</v>
      </c>
      <c r="S36">
        <v>0</v>
      </c>
      <c r="T36" s="8">
        <v>0</v>
      </c>
      <c r="U36" s="11">
        <v>0</v>
      </c>
      <c r="V36" s="8">
        <v>0</v>
      </c>
      <c r="W36">
        <v>0</v>
      </c>
      <c r="X36" s="5">
        <f t="shared" si="1"/>
        <v>0</v>
      </c>
      <c r="Y36">
        <v>0</v>
      </c>
      <c r="Z36">
        <v>0</v>
      </c>
      <c r="AA36" s="11">
        <v>0</v>
      </c>
      <c r="AB36">
        <f>2/12</f>
        <v>0.16666666666666666</v>
      </c>
      <c r="AC36" s="11">
        <v>0</v>
      </c>
      <c r="AD36" s="11">
        <v>0</v>
      </c>
      <c r="AE36" s="11">
        <v>0</v>
      </c>
      <c r="AF36" s="11">
        <f t="shared" si="2"/>
        <v>0.16666666666666666</v>
      </c>
      <c r="AG36">
        <v>0</v>
      </c>
      <c r="AH36">
        <v>0</v>
      </c>
      <c r="AI36" t="s">
        <v>825</v>
      </c>
      <c r="AJ36" t="s">
        <v>824</v>
      </c>
      <c r="AL36" t="s">
        <v>529</v>
      </c>
    </row>
    <row r="37" spans="1:38" x14ac:dyDescent="0.25">
      <c r="A37">
        <v>491</v>
      </c>
      <c r="B37" t="s">
        <v>91</v>
      </c>
      <c r="C37" t="s">
        <v>491</v>
      </c>
      <c r="D37" t="s">
        <v>219</v>
      </c>
      <c r="E37">
        <v>1343</v>
      </c>
      <c r="F37" t="s">
        <v>249</v>
      </c>
      <c r="G37">
        <v>9</v>
      </c>
      <c r="H37">
        <v>0</v>
      </c>
      <c r="I37">
        <v>0</v>
      </c>
      <c r="J37" s="8">
        <v>0</v>
      </c>
      <c r="K37" s="8">
        <v>0</v>
      </c>
      <c r="L37">
        <v>0</v>
      </c>
      <c r="M37" s="8">
        <v>0</v>
      </c>
      <c r="N37">
        <v>0</v>
      </c>
      <c r="O37">
        <v>0</v>
      </c>
      <c r="P37" s="5">
        <f t="shared" si="0"/>
        <v>0</v>
      </c>
      <c r="Q37" s="8">
        <v>0</v>
      </c>
      <c r="R37" s="8">
        <v>0</v>
      </c>
      <c r="S37">
        <v>0</v>
      </c>
      <c r="T37" s="8">
        <v>0</v>
      </c>
      <c r="U37" s="11">
        <v>0</v>
      </c>
      <c r="V37" s="8">
        <v>0</v>
      </c>
      <c r="W37">
        <v>0</v>
      </c>
      <c r="X37" s="5">
        <f t="shared" si="1"/>
        <v>0</v>
      </c>
      <c r="Y37">
        <v>0</v>
      </c>
      <c r="Z37">
        <v>0</v>
      </c>
      <c r="AA37" s="11">
        <v>0</v>
      </c>
      <c r="AB37">
        <f>2/12</f>
        <v>0.16666666666666666</v>
      </c>
      <c r="AC37" s="11">
        <v>0</v>
      </c>
      <c r="AD37" s="11">
        <v>0</v>
      </c>
      <c r="AE37" s="11">
        <v>0</v>
      </c>
      <c r="AF37" s="11">
        <f t="shared" si="2"/>
        <v>0.16666666666666666</v>
      </c>
      <c r="AG37">
        <v>0</v>
      </c>
      <c r="AH37">
        <v>0</v>
      </c>
      <c r="AI37" t="s">
        <v>536</v>
      </c>
      <c r="AJ37" t="s">
        <v>827</v>
      </c>
    </row>
    <row r="38" spans="1:38" x14ac:dyDescent="0.25">
      <c r="A38">
        <v>501</v>
      </c>
      <c r="B38" t="s">
        <v>13</v>
      </c>
      <c r="C38" t="s">
        <v>58</v>
      </c>
      <c r="D38" t="s">
        <v>219</v>
      </c>
      <c r="E38">
        <v>1343</v>
      </c>
      <c r="F38" t="s">
        <v>249</v>
      </c>
      <c r="G38">
        <v>9</v>
      </c>
      <c r="H38">
        <v>0</v>
      </c>
      <c r="I38">
        <v>0</v>
      </c>
      <c r="J38" s="8">
        <v>0</v>
      </c>
      <c r="K38" s="8">
        <v>0</v>
      </c>
      <c r="L38">
        <v>0</v>
      </c>
      <c r="M38">
        <f>1/2</f>
        <v>0.5</v>
      </c>
      <c r="N38">
        <v>0</v>
      </c>
      <c r="O38">
        <v>0</v>
      </c>
      <c r="P38" s="5">
        <f t="shared" si="0"/>
        <v>2.4375</v>
      </c>
      <c r="Q38" s="8">
        <v>0</v>
      </c>
      <c r="R38" s="8">
        <v>0</v>
      </c>
      <c r="S38">
        <v>0</v>
      </c>
      <c r="T38">
        <f>1/2</f>
        <v>0.5</v>
      </c>
      <c r="U38" s="11">
        <v>0</v>
      </c>
      <c r="V38" s="8">
        <v>0</v>
      </c>
      <c r="W38">
        <v>0</v>
      </c>
      <c r="X38" s="5">
        <f t="shared" si="1"/>
        <v>2.4375</v>
      </c>
      <c r="Y38">
        <v>0</v>
      </c>
      <c r="Z38">
        <v>0</v>
      </c>
      <c r="AA38" s="11">
        <v>0</v>
      </c>
      <c r="AB38" s="11">
        <v>0</v>
      </c>
      <c r="AC38" s="11">
        <v>0</v>
      </c>
      <c r="AD38" s="11">
        <v>0</v>
      </c>
      <c r="AE38" s="11">
        <v>0</v>
      </c>
      <c r="AF38" s="11">
        <f t="shared" si="2"/>
        <v>0</v>
      </c>
      <c r="AG38">
        <v>0</v>
      </c>
      <c r="AH38">
        <v>0</v>
      </c>
      <c r="AI38" t="s">
        <v>719</v>
      </c>
      <c r="AJ38" t="s">
        <v>823</v>
      </c>
    </row>
    <row r="39" spans="1:38" x14ac:dyDescent="0.25">
      <c r="A39">
        <v>501</v>
      </c>
      <c r="B39" t="s">
        <v>13</v>
      </c>
      <c r="C39" t="s">
        <v>58</v>
      </c>
      <c r="D39" t="s">
        <v>219</v>
      </c>
      <c r="E39">
        <v>1343</v>
      </c>
      <c r="F39" t="s">
        <v>249</v>
      </c>
      <c r="G39">
        <v>9</v>
      </c>
      <c r="H39">
        <v>0</v>
      </c>
      <c r="I39">
        <v>0</v>
      </c>
      <c r="J39" s="8">
        <v>0</v>
      </c>
      <c r="K39" s="8">
        <v>0</v>
      </c>
      <c r="L39">
        <v>0</v>
      </c>
      <c r="M39" s="8">
        <v>0</v>
      </c>
      <c r="N39">
        <v>0</v>
      </c>
      <c r="O39">
        <v>0</v>
      </c>
      <c r="P39" s="5">
        <f t="shared" si="0"/>
        <v>0</v>
      </c>
      <c r="Q39" s="8">
        <v>0</v>
      </c>
      <c r="R39" s="8">
        <v>0</v>
      </c>
      <c r="S39">
        <v>0</v>
      </c>
      <c r="T39" s="8">
        <v>0</v>
      </c>
      <c r="U39" s="11">
        <v>0</v>
      </c>
      <c r="V39" s="8">
        <v>0</v>
      </c>
      <c r="W39">
        <v>0</v>
      </c>
      <c r="X39" s="5">
        <f t="shared" si="1"/>
        <v>0</v>
      </c>
      <c r="Y39">
        <v>0</v>
      </c>
      <c r="Z39">
        <v>0</v>
      </c>
      <c r="AA39" s="11">
        <v>0</v>
      </c>
      <c r="AB39" s="11">
        <f>1/2</f>
        <v>0.5</v>
      </c>
      <c r="AC39" s="11">
        <v>0</v>
      </c>
      <c r="AD39" s="11">
        <v>0</v>
      </c>
      <c r="AE39" s="11">
        <v>0</v>
      </c>
      <c r="AF39" s="11">
        <f t="shared" si="2"/>
        <v>0.5</v>
      </c>
      <c r="AG39">
        <v>0</v>
      </c>
      <c r="AH39">
        <v>0</v>
      </c>
      <c r="AI39" t="s">
        <v>306</v>
      </c>
    </row>
    <row r="40" spans="1:38" x14ac:dyDescent="0.25">
      <c r="A40">
        <v>561</v>
      </c>
      <c r="B40" t="s">
        <v>13</v>
      </c>
      <c r="C40" t="s">
        <v>68</v>
      </c>
      <c r="D40" t="s">
        <v>219</v>
      </c>
      <c r="E40">
        <v>1343</v>
      </c>
      <c r="F40" t="s">
        <v>249</v>
      </c>
      <c r="G40">
        <v>23</v>
      </c>
      <c r="H40">
        <v>0</v>
      </c>
      <c r="I40">
        <v>0</v>
      </c>
      <c r="J40">
        <v>1</v>
      </c>
      <c r="K40">
        <v>0</v>
      </c>
      <c r="L40">
        <v>0</v>
      </c>
      <c r="M40">
        <v>0</v>
      </c>
      <c r="N40">
        <v>0</v>
      </c>
      <c r="O40">
        <v>0</v>
      </c>
      <c r="P40" s="5">
        <f t="shared" si="0"/>
        <v>9.75</v>
      </c>
      <c r="Q40">
        <v>0</v>
      </c>
      <c r="R40">
        <v>0</v>
      </c>
      <c r="S40">
        <v>0</v>
      </c>
      <c r="T40">
        <v>9</v>
      </c>
      <c r="U40">
        <v>0</v>
      </c>
      <c r="V40">
        <v>0</v>
      </c>
      <c r="W40">
        <v>0</v>
      </c>
      <c r="X40" s="5">
        <f t="shared" si="1"/>
        <v>43.875</v>
      </c>
      <c r="Y40">
        <v>0</v>
      </c>
      <c r="Z40">
        <v>0</v>
      </c>
      <c r="AA40">
        <v>0</v>
      </c>
      <c r="AB40">
        <v>0</v>
      </c>
      <c r="AC40">
        <v>0</v>
      </c>
      <c r="AD40">
        <v>0</v>
      </c>
      <c r="AE40">
        <v>0</v>
      </c>
      <c r="AF40" s="11">
        <f t="shared" si="2"/>
        <v>0</v>
      </c>
      <c r="AG40">
        <v>0</v>
      </c>
      <c r="AH40">
        <v>0</v>
      </c>
      <c r="AI40" t="s">
        <v>3855</v>
      </c>
    </row>
    <row r="41" spans="1:38" x14ac:dyDescent="0.25">
      <c r="A41">
        <v>601</v>
      </c>
      <c r="B41" t="s">
        <v>670</v>
      </c>
      <c r="C41" t="s">
        <v>671</v>
      </c>
      <c r="D41" t="s">
        <v>219</v>
      </c>
      <c r="E41">
        <v>1343</v>
      </c>
      <c r="F41" t="s">
        <v>249</v>
      </c>
      <c r="G41">
        <v>29</v>
      </c>
      <c r="H41">
        <v>0</v>
      </c>
      <c r="I41">
        <v>0</v>
      </c>
      <c r="J41" s="8">
        <v>1</v>
      </c>
      <c r="K41" s="8">
        <v>0</v>
      </c>
      <c r="L41">
        <v>0</v>
      </c>
      <c r="M41" s="8">
        <v>0</v>
      </c>
      <c r="N41">
        <v>0</v>
      </c>
      <c r="O41">
        <v>0</v>
      </c>
      <c r="P41" s="5">
        <f t="shared" si="0"/>
        <v>9.75</v>
      </c>
      <c r="Q41" s="8">
        <v>0</v>
      </c>
      <c r="R41" s="8">
        <v>0</v>
      </c>
      <c r="S41">
        <v>0</v>
      </c>
      <c r="T41" s="8">
        <v>0</v>
      </c>
      <c r="U41" s="11">
        <v>0</v>
      </c>
      <c r="V41" s="8">
        <v>0</v>
      </c>
      <c r="W41">
        <v>0</v>
      </c>
      <c r="X41" s="5">
        <f t="shared" si="1"/>
        <v>0</v>
      </c>
      <c r="Y41">
        <v>0</v>
      </c>
      <c r="Z41">
        <v>0</v>
      </c>
      <c r="AA41" s="11">
        <v>0</v>
      </c>
      <c r="AB41" s="11">
        <v>0</v>
      </c>
      <c r="AC41" s="11">
        <v>0</v>
      </c>
      <c r="AD41" s="11">
        <v>0</v>
      </c>
      <c r="AE41" s="11">
        <v>0</v>
      </c>
      <c r="AF41" s="11">
        <f t="shared" si="2"/>
        <v>0</v>
      </c>
      <c r="AG41">
        <v>0</v>
      </c>
      <c r="AH41">
        <v>0</v>
      </c>
      <c r="AI41" t="s">
        <v>675</v>
      </c>
    </row>
    <row r="42" spans="1:38" x14ac:dyDescent="0.25">
      <c r="A42">
        <v>601</v>
      </c>
      <c r="B42" t="s">
        <v>670</v>
      </c>
      <c r="C42" t="s">
        <v>671</v>
      </c>
      <c r="D42" t="s">
        <v>219</v>
      </c>
      <c r="E42">
        <v>1343</v>
      </c>
      <c r="F42" t="s">
        <v>249</v>
      </c>
      <c r="G42">
        <v>29</v>
      </c>
      <c r="H42">
        <v>0</v>
      </c>
      <c r="I42">
        <v>0</v>
      </c>
      <c r="J42" s="8">
        <v>1</v>
      </c>
      <c r="K42" s="8">
        <v>0</v>
      </c>
      <c r="L42">
        <v>0</v>
      </c>
      <c r="M42" s="8">
        <v>0</v>
      </c>
      <c r="N42">
        <v>0</v>
      </c>
      <c r="O42">
        <v>0</v>
      </c>
      <c r="P42" s="5">
        <f t="shared" si="0"/>
        <v>9.75</v>
      </c>
      <c r="Q42" s="8">
        <v>0</v>
      </c>
      <c r="R42" s="8">
        <v>0</v>
      </c>
      <c r="S42">
        <v>0</v>
      </c>
      <c r="T42" s="8">
        <v>0</v>
      </c>
      <c r="U42" s="11">
        <v>0</v>
      </c>
      <c r="V42" s="8">
        <v>0</v>
      </c>
      <c r="W42">
        <v>0</v>
      </c>
      <c r="X42" s="5">
        <f t="shared" si="1"/>
        <v>0</v>
      </c>
      <c r="Y42">
        <v>0</v>
      </c>
      <c r="Z42">
        <v>0</v>
      </c>
      <c r="AA42" s="11">
        <v>0</v>
      </c>
      <c r="AB42" s="11">
        <v>0</v>
      </c>
      <c r="AC42" s="11">
        <v>0</v>
      </c>
      <c r="AD42" s="11">
        <v>0</v>
      </c>
      <c r="AE42" s="11">
        <v>0</v>
      </c>
      <c r="AF42" s="11">
        <f t="shared" si="2"/>
        <v>0</v>
      </c>
      <c r="AG42">
        <v>0</v>
      </c>
      <c r="AH42">
        <v>0</v>
      </c>
      <c r="AI42" t="s">
        <v>828</v>
      </c>
      <c r="AJ42" t="s">
        <v>744</v>
      </c>
    </row>
    <row r="43" spans="1:38" x14ac:dyDescent="0.25">
      <c r="A43">
        <v>601</v>
      </c>
      <c r="B43" t="s">
        <v>670</v>
      </c>
      <c r="C43" t="s">
        <v>671</v>
      </c>
      <c r="D43" t="s">
        <v>219</v>
      </c>
      <c r="E43">
        <v>1343</v>
      </c>
      <c r="F43" t="s">
        <v>249</v>
      </c>
      <c r="G43">
        <v>29</v>
      </c>
      <c r="H43">
        <v>0</v>
      </c>
      <c r="I43">
        <v>0</v>
      </c>
      <c r="J43" s="8">
        <v>0</v>
      </c>
      <c r="K43" s="8">
        <v>0</v>
      </c>
      <c r="L43">
        <v>0</v>
      </c>
      <c r="M43" s="8">
        <v>0</v>
      </c>
      <c r="N43">
        <v>0</v>
      </c>
      <c r="O43">
        <v>0</v>
      </c>
      <c r="P43" s="5">
        <f t="shared" si="0"/>
        <v>0</v>
      </c>
      <c r="Q43" s="8">
        <v>0</v>
      </c>
      <c r="R43" s="8">
        <v>0</v>
      </c>
      <c r="S43">
        <v>0</v>
      </c>
      <c r="T43" s="8">
        <v>0</v>
      </c>
      <c r="U43" s="11">
        <v>0</v>
      </c>
      <c r="V43" s="8">
        <v>0</v>
      </c>
      <c r="W43">
        <v>0</v>
      </c>
      <c r="X43" s="5">
        <f t="shared" si="1"/>
        <v>0</v>
      </c>
      <c r="Y43">
        <v>0</v>
      </c>
      <c r="Z43">
        <v>0</v>
      </c>
      <c r="AA43" s="11">
        <v>0</v>
      </c>
      <c r="AB43">
        <f>4/12</f>
        <v>0.33333333333333331</v>
      </c>
      <c r="AC43" s="11">
        <v>0</v>
      </c>
      <c r="AD43" s="11">
        <v>0</v>
      </c>
      <c r="AE43" s="11">
        <v>0</v>
      </c>
      <c r="AF43" s="11">
        <f t="shared" si="2"/>
        <v>0.33333333333333331</v>
      </c>
      <c r="AG43">
        <v>0</v>
      </c>
      <c r="AH43">
        <v>0</v>
      </c>
      <c r="AI43" t="s">
        <v>679</v>
      </c>
    </row>
    <row r="44" spans="1:38" x14ac:dyDescent="0.25">
      <c r="A44">
        <v>611</v>
      </c>
      <c r="B44" t="s">
        <v>13</v>
      </c>
      <c r="C44" t="s">
        <v>671</v>
      </c>
      <c r="D44" t="s">
        <v>219</v>
      </c>
      <c r="E44">
        <v>1343</v>
      </c>
      <c r="F44" t="s">
        <v>249</v>
      </c>
      <c r="G44">
        <v>29</v>
      </c>
      <c r="H44">
        <v>0</v>
      </c>
      <c r="I44">
        <v>0</v>
      </c>
      <c r="J44" s="8">
        <v>0</v>
      </c>
      <c r="K44" s="8">
        <v>0</v>
      </c>
      <c r="L44">
        <v>0</v>
      </c>
      <c r="M44" s="8">
        <v>0</v>
      </c>
      <c r="N44">
        <v>0</v>
      </c>
      <c r="O44">
        <v>0</v>
      </c>
      <c r="P44" s="5">
        <f t="shared" si="0"/>
        <v>0</v>
      </c>
      <c r="Q44" s="8">
        <v>0</v>
      </c>
      <c r="R44" s="8">
        <v>0</v>
      </c>
      <c r="S44">
        <v>0</v>
      </c>
      <c r="T44" s="8">
        <v>0</v>
      </c>
      <c r="U44" s="11">
        <v>0</v>
      </c>
      <c r="V44" s="8">
        <v>0</v>
      </c>
      <c r="W44">
        <v>0</v>
      </c>
      <c r="X44" s="5">
        <f t="shared" si="1"/>
        <v>0</v>
      </c>
      <c r="Y44">
        <v>0</v>
      </c>
      <c r="Z44">
        <v>0</v>
      </c>
      <c r="AA44" s="11">
        <v>0</v>
      </c>
      <c r="AB44">
        <f>4/12</f>
        <v>0.33333333333333331</v>
      </c>
      <c r="AC44" s="11">
        <v>0</v>
      </c>
      <c r="AD44" s="11">
        <v>0</v>
      </c>
      <c r="AE44" s="11">
        <v>0</v>
      </c>
      <c r="AF44" s="11">
        <f t="shared" si="2"/>
        <v>0.33333333333333331</v>
      </c>
      <c r="AG44">
        <v>0</v>
      </c>
      <c r="AH44">
        <v>0</v>
      </c>
      <c r="AI44" t="s">
        <v>679</v>
      </c>
      <c r="AJ44" t="s">
        <v>829</v>
      </c>
    </row>
    <row r="45" spans="1:38" x14ac:dyDescent="0.25">
      <c r="A45">
        <v>611</v>
      </c>
      <c r="B45" t="s">
        <v>13</v>
      </c>
      <c r="C45" t="s">
        <v>671</v>
      </c>
      <c r="D45" t="s">
        <v>219</v>
      </c>
      <c r="E45">
        <v>1343</v>
      </c>
      <c r="F45" t="s">
        <v>249</v>
      </c>
      <c r="G45">
        <v>29</v>
      </c>
      <c r="H45">
        <v>0</v>
      </c>
      <c r="I45">
        <v>0</v>
      </c>
      <c r="J45" s="8">
        <v>0</v>
      </c>
      <c r="K45" s="8">
        <v>0</v>
      </c>
      <c r="L45">
        <v>0</v>
      </c>
      <c r="M45" s="8">
        <v>6</v>
      </c>
      <c r="N45">
        <v>0</v>
      </c>
      <c r="O45">
        <v>0</v>
      </c>
      <c r="P45" s="5">
        <f t="shared" si="0"/>
        <v>29.25</v>
      </c>
      <c r="Q45" s="8">
        <v>0</v>
      </c>
      <c r="R45" s="8">
        <v>0</v>
      </c>
      <c r="S45">
        <v>0</v>
      </c>
      <c r="T45" s="8">
        <v>1.5</v>
      </c>
      <c r="U45" s="11">
        <v>0</v>
      </c>
      <c r="V45" s="8">
        <v>0</v>
      </c>
      <c r="W45">
        <v>0</v>
      </c>
      <c r="X45" s="5">
        <f t="shared" si="1"/>
        <v>7.3125</v>
      </c>
      <c r="Y45">
        <v>0</v>
      </c>
      <c r="Z45">
        <v>0</v>
      </c>
      <c r="AA45" s="11">
        <v>0</v>
      </c>
      <c r="AB45" s="11">
        <v>4</v>
      </c>
      <c r="AC45" s="11">
        <v>0</v>
      </c>
      <c r="AD45" s="11">
        <v>-1</v>
      </c>
      <c r="AE45" s="11">
        <v>0</v>
      </c>
      <c r="AF45" s="11">
        <f t="shared" si="2"/>
        <v>3.9583333333333335</v>
      </c>
      <c r="AG45">
        <v>0</v>
      </c>
      <c r="AH45">
        <v>0</v>
      </c>
      <c r="AI45" t="s">
        <v>833</v>
      </c>
      <c r="AL45" t="s">
        <v>834</v>
      </c>
    </row>
    <row r="46" spans="1:38" x14ac:dyDescent="0.25">
      <c r="A46">
        <v>651</v>
      </c>
      <c r="B46" t="s">
        <v>567</v>
      </c>
      <c r="C46" t="s">
        <v>671</v>
      </c>
      <c r="D46" t="s">
        <v>219</v>
      </c>
      <c r="E46">
        <v>1343</v>
      </c>
      <c r="F46" t="s">
        <v>249</v>
      </c>
      <c r="G46">
        <v>29</v>
      </c>
      <c r="H46">
        <v>0</v>
      </c>
      <c r="I46">
        <v>0</v>
      </c>
      <c r="J46" s="8">
        <v>0</v>
      </c>
      <c r="K46" s="8">
        <v>0</v>
      </c>
      <c r="L46">
        <v>0</v>
      </c>
      <c r="M46">
        <f>1/2</f>
        <v>0.5</v>
      </c>
      <c r="N46">
        <v>0</v>
      </c>
      <c r="O46">
        <v>0</v>
      </c>
      <c r="P46" s="5">
        <f t="shared" si="0"/>
        <v>2.4375</v>
      </c>
      <c r="Q46" s="8">
        <v>0</v>
      </c>
      <c r="R46" s="8">
        <v>0</v>
      </c>
      <c r="S46">
        <v>0</v>
      </c>
      <c r="T46" s="8">
        <v>0</v>
      </c>
      <c r="U46" s="11">
        <v>0</v>
      </c>
      <c r="V46" s="8">
        <v>0</v>
      </c>
      <c r="W46">
        <v>0</v>
      </c>
      <c r="X46" s="5">
        <f t="shared" si="1"/>
        <v>0</v>
      </c>
      <c r="Y46">
        <v>0</v>
      </c>
      <c r="Z46">
        <v>0</v>
      </c>
      <c r="AA46" s="11">
        <v>0</v>
      </c>
      <c r="AB46" s="11">
        <v>0</v>
      </c>
      <c r="AC46" s="11">
        <v>0</v>
      </c>
      <c r="AD46" s="11">
        <v>0</v>
      </c>
      <c r="AE46" s="11">
        <v>0</v>
      </c>
      <c r="AF46" s="11">
        <f t="shared" si="2"/>
        <v>0</v>
      </c>
      <c r="AG46">
        <v>0</v>
      </c>
      <c r="AH46">
        <v>0</v>
      </c>
      <c r="AI46" t="s">
        <v>830</v>
      </c>
      <c r="AJ46" t="s">
        <v>700</v>
      </c>
    </row>
    <row r="47" spans="1:38" x14ac:dyDescent="0.25">
      <c r="A47">
        <v>651</v>
      </c>
      <c r="B47" t="s">
        <v>567</v>
      </c>
      <c r="C47" t="s">
        <v>671</v>
      </c>
      <c r="D47" t="s">
        <v>219</v>
      </c>
      <c r="E47">
        <v>1343</v>
      </c>
      <c r="F47" t="s">
        <v>249</v>
      </c>
      <c r="G47">
        <v>29</v>
      </c>
      <c r="H47">
        <v>0</v>
      </c>
      <c r="I47">
        <v>0</v>
      </c>
      <c r="J47" s="8">
        <v>0</v>
      </c>
      <c r="K47" s="8">
        <v>0</v>
      </c>
      <c r="L47">
        <v>0</v>
      </c>
      <c r="M47" s="8">
        <v>0</v>
      </c>
      <c r="N47">
        <v>0</v>
      </c>
      <c r="O47">
        <v>0</v>
      </c>
      <c r="P47" s="5">
        <f t="shared" si="0"/>
        <v>0</v>
      </c>
      <c r="Q47" s="8">
        <v>0</v>
      </c>
      <c r="R47" s="8">
        <v>0</v>
      </c>
      <c r="S47">
        <v>0</v>
      </c>
      <c r="T47" s="8">
        <v>0</v>
      </c>
      <c r="U47" s="11">
        <v>0</v>
      </c>
      <c r="V47" s="8">
        <v>0</v>
      </c>
      <c r="W47">
        <v>0</v>
      </c>
      <c r="X47" s="5">
        <f t="shared" si="1"/>
        <v>0</v>
      </c>
      <c r="Y47">
        <v>0</v>
      </c>
      <c r="Z47">
        <v>0</v>
      </c>
      <c r="AA47" s="11">
        <v>0</v>
      </c>
      <c r="AB47">
        <f>3/12</f>
        <v>0.25</v>
      </c>
      <c r="AC47" s="11">
        <v>0</v>
      </c>
      <c r="AD47" s="11">
        <v>0</v>
      </c>
      <c r="AE47" s="11">
        <v>0</v>
      </c>
      <c r="AF47" s="11">
        <f t="shared" si="2"/>
        <v>0.25</v>
      </c>
      <c r="AG47">
        <v>0</v>
      </c>
      <c r="AH47">
        <v>0</v>
      </c>
      <c r="AI47" t="s">
        <v>831</v>
      </c>
      <c r="AJ47" t="s">
        <v>832</v>
      </c>
    </row>
    <row r="48" spans="1:38" x14ac:dyDescent="0.25">
      <c r="A48">
        <v>651</v>
      </c>
      <c r="B48" t="s">
        <v>567</v>
      </c>
      <c r="C48" t="s">
        <v>671</v>
      </c>
      <c r="D48" t="s">
        <v>219</v>
      </c>
      <c r="E48">
        <v>1343</v>
      </c>
      <c r="F48" t="s">
        <v>249</v>
      </c>
      <c r="G48">
        <v>29</v>
      </c>
      <c r="H48">
        <v>0</v>
      </c>
      <c r="I48">
        <v>0</v>
      </c>
      <c r="J48" s="8">
        <v>0</v>
      </c>
      <c r="K48" s="8">
        <v>0</v>
      </c>
      <c r="L48">
        <v>0</v>
      </c>
      <c r="M48">
        <f>1/2</f>
        <v>0.5</v>
      </c>
      <c r="N48">
        <v>0</v>
      </c>
      <c r="O48">
        <v>0</v>
      </c>
      <c r="P48" s="5">
        <f t="shared" si="0"/>
        <v>2.4375</v>
      </c>
      <c r="Q48" s="8">
        <v>0</v>
      </c>
      <c r="R48" s="8">
        <v>0</v>
      </c>
      <c r="S48">
        <v>0</v>
      </c>
      <c r="T48" s="8">
        <v>0</v>
      </c>
      <c r="U48" s="11">
        <v>0</v>
      </c>
      <c r="V48" s="8">
        <v>0</v>
      </c>
      <c r="W48">
        <v>0</v>
      </c>
      <c r="X48" s="5">
        <f t="shared" si="1"/>
        <v>0</v>
      </c>
      <c r="Y48">
        <v>0</v>
      </c>
      <c r="Z48">
        <v>0</v>
      </c>
      <c r="AA48" s="11">
        <v>0</v>
      </c>
      <c r="AB48" s="11">
        <v>0</v>
      </c>
      <c r="AC48" s="11">
        <v>0</v>
      </c>
      <c r="AD48" s="11">
        <v>0</v>
      </c>
      <c r="AE48" s="11">
        <v>0</v>
      </c>
      <c r="AF48" s="11">
        <f t="shared" si="2"/>
        <v>0</v>
      </c>
      <c r="AG48">
        <v>0</v>
      </c>
      <c r="AH48">
        <v>0</v>
      </c>
      <c r="AL48" t="s">
        <v>754</v>
      </c>
    </row>
    <row r="49" spans="1:38" x14ac:dyDescent="0.25">
      <c r="A49">
        <v>661</v>
      </c>
      <c r="B49" t="s">
        <v>39</v>
      </c>
      <c r="C49" t="s">
        <v>671</v>
      </c>
      <c r="D49" t="s">
        <v>219</v>
      </c>
      <c r="E49">
        <v>1343</v>
      </c>
      <c r="F49" t="s">
        <v>249</v>
      </c>
      <c r="G49">
        <v>29</v>
      </c>
      <c r="H49">
        <f>1/7</f>
        <v>0.14285714285714285</v>
      </c>
      <c r="I49">
        <v>0</v>
      </c>
      <c r="J49" s="8">
        <v>0</v>
      </c>
      <c r="K49" s="8">
        <v>0</v>
      </c>
      <c r="L49">
        <v>0</v>
      </c>
      <c r="M49" s="8">
        <v>5</v>
      </c>
      <c r="N49">
        <v>0</v>
      </c>
      <c r="O49">
        <v>0</v>
      </c>
      <c r="P49" s="5">
        <f t="shared" si="0"/>
        <v>24.375</v>
      </c>
      <c r="Q49" s="8">
        <v>0</v>
      </c>
      <c r="R49" s="8">
        <v>0</v>
      </c>
      <c r="S49">
        <v>0</v>
      </c>
      <c r="T49" s="8">
        <f>1+1/2</f>
        <v>1.5</v>
      </c>
      <c r="U49" s="11">
        <v>1</v>
      </c>
      <c r="V49" s="8">
        <v>0</v>
      </c>
      <c r="W49">
        <v>0</v>
      </c>
      <c r="X49" s="5">
        <f t="shared" si="1"/>
        <v>9.75</v>
      </c>
      <c r="Y49">
        <v>0</v>
      </c>
      <c r="Z49">
        <v>0</v>
      </c>
      <c r="AA49" s="11">
        <v>0</v>
      </c>
      <c r="AB49" s="11">
        <f>4+8/12</f>
        <v>4.666666666666667</v>
      </c>
      <c r="AC49" s="11">
        <v>0</v>
      </c>
      <c r="AD49" s="11">
        <v>0</v>
      </c>
      <c r="AE49" s="11">
        <v>0</v>
      </c>
      <c r="AF49" s="11">
        <f t="shared" si="2"/>
        <v>4.666666666666667</v>
      </c>
      <c r="AG49">
        <v>0</v>
      </c>
      <c r="AH49">
        <v>0</v>
      </c>
      <c r="AI49" t="s">
        <v>833</v>
      </c>
      <c r="AK49" t="s">
        <v>571</v>
      </c>
      <c r="AL49" t="s">
        <v>895</v>
      </c>
    </row>
    <row r="50" spans="1:38" x14ac:dyDescent="0.25">
      <c r="A50">
        <v>661</v>
      </c>
      <c r="B50" t="s">
        <v>39</v>
      </c>
      <c r="C50" t="s">
        <v>671</v>
      </c>
      <c r="D50" t="s">
        <v>219</v>
      </c>
      <c r="E50">
        <v>1343</v>
      </c>
      <c r="F50" t="s">
        <v>249</v>
      </c>
      <c r="G50">
        <v>29</v>
      </c>
      <c r="H50">
        <v>0</v>
      </c>
      <c r="I50" s="8">
        <v>0</v>
      </c>
      <c r="J50" s="8">
        <v>0</v>
      </c>
      <c r="K50" s="8">
        <v>0</v>
      </c>
      <c r="L50" s="8">
        <v>0</v>
      </c>
      <c r="M50" s="8">
        <f>1/2</f>
        <v>0.5</v>
      </c>
      <c r="N50" s="8">
        <v>0</v>
      </c>
      <c r="O50" s="8">
        <v>0</v>
      </c>
      <c r="P50" s="5">
        <f t="shared" si="0"/>
        <v>2.4375</v>
      </c>
      <c r="Q50" s="8">
        <v>0</v>
      </c>
      <c r="R50" s="8">
        <v>0</v>
      </c>
      <c r="S50" s="8">
        <v>0</v>
      </c>
      <c r="T50" s="8">
        <v>0</v>
      </c>
      <c r="U50" s="11">
        <v>0</v>
      </c>
      <c r="V50" s="11">
        <v>0</v>
      </c>
      <c r="W50" s="11">
        <v>0</v>
      </c>
      <c r="X50" s="5">
        <f t="shared" si="1"/>
        <v>0</v>
      </c>
      <c r="Y50" s="11">
        <v>0</v>
      </c>
      <c r="Z50" s="11">
        <v>0</v>
      </c>
      <c r="AA50" s="11">
        <v>0</v>
      </c>
      <c r="AB50" s="11">
        <v>0</v>
      </c>
      <c r="AC50" s="11">
        <v>0</v>
      </c>
      <c r="AD50" s="11">
        <v>0</v>
      </c>
      <c r="AE50" s="11">
        <v>0</v>
      </c>
      <c r="AF50" s="11">
        <f t="shared" si="2"/>
        <v>0</v>
      </c>
      <c r="AG50" s="11">
        <v>0</v>
      </c>
      <c r="AH50" s="11">
        <v>0</v>
      </c>
      <c r="AI50" t="s">
        <v>3858</v>
      </c>
    </row>
    <row r="51" spans="1:38" x14ac:dyDescent="0.25">
      <c r="A51">
        <v>671</v>
      </c>
      <c r="B51" t="s">
        <v>39</v>
      </c>
      <c r="C51" t="s">
        <v>68</v>
      </c>
      <c r="D51" t="s">
        <v>219</v>
      </c>
      <c r="E51">
        <v>1343</v>
      </c>
      <c r="F51" t="s">
        <v>249</v>
      </c>
      <c r="G51">
        <v>29</v>
      </c>
      <c r="H51">
        <v>0</v>
      </c>
      <c r="I51">
        <v>0</v>
      </c>
      <c r="J51" s="8">
        <v>0</v>
      </c>
      <c r="K51" s="8">
        <v>0</v>
      </c>
      <c r="L51">
        <v>0</v>
      </c>
      <c r="M51" s="3">
        <v>0.5</v>
      </c>
      <c r="N51">
        <v>0</v>
      </c>
      <c r="O51">
        <v>0</v>
      </c>
      <c r="P51" s="5">
        <f t="shared" si="0"/>
        <v>2.4375</v>
      </c>
      <c r="Q51" s="8">
        <v>0</v>
      </c>
      <c r="R51" s="8">
        <v>0</v>
      </c>
      <c r="S51">
        <v>0</v>
      </c>
      <c r="T51" s="8">
        <v>0</v>
      </c>
      <c r="U51" s="11">
        <v>0</v>
      </c>
      <c r="V51" s="8">
        <v>0</v>
      </c>
      <c r="W51">
        <v>0</v>
      </c>
      <c r="X51" s="5">
        <f t="shared" si="1"/>
        <v>0</v>
      </c>
      <c r="Y51">
        <v>0</v>
      </c>
      <c r="Z51">
        <v>0</v>
      </c>
      <c r="AA51" s="11">
        <v>0</v>
      </c>
      <c r="AB51" s="11">
        <v>0</v>
      </c>
      <c r="AC51" s="11">
        <v>0</v>
      </c>
      <c r="AD51" s="11">
        <v>0</v>
      </c>
      <c r="AE51" s="11">
        <v>0</v>
      </c>
      <c r="AF51" s="11">
        <f t="shared" si="2"/>
        <v>0</v>
      </c>
      <c r="AG51">
        <v>0</v>
      </c>
      <c r="AH51">
        <v>0</v>
      </c>
      <c r="AI51" t="s">
        <v>747</v>
      </c>
    </row>
    <row r="52" spans="1:38" x14ac:dyDescent="0.25">
      <c r="A52">
        <v>681</v>
      </c>
      <c r="B52" t="s">
        <v>13</v>
      </c>
      <c r="C52" t="s">
        <v>68</v>
      </c>
      <c r="D52" t="s">
        <v>219</v>
      </c>
      <c r="E52">
        <v>1343</v>
      </c>
      <c r="F52" t="s">
        <v>249</v>
      </c>
      <c r="G52">
        <v>29</v>
      </c>
      <c r="H52">
        <f>1/7</f>
        <v>0.14285714285714285</v>
      </c>
      <c r="I52">
        <v>0</v>
      </c>
      <c r="J52" s="8">
        <v>0</v>
      </c>
      <c r="K52" s="8">
        <v>0</v>
      </c>
      <c r="L52">
        <v>0</v>
      </c>
      <c r="M52" s="8">
        <v>0</v>
      </c>
      <c r="N52">
        <v>0</v>
      </c>
      <c r="O52">
        <v>0</v>
      </c>
      <c r="P52" s="5">
        <f t="shared" si="0"/>
        <v>0</v>
      </c>
      <c r="Q52" s="8">
        <v>0</v>
      </c>
      <c r="R52" s="8">
        <v>0</v>
      </c>
      <c r="S52">
        <v>0</v>
      </c>
      <c r="T52" s="8">
        <v>0</v>
      </c>
      <c r="U52" s="11">
        <v>0</v>
      </c>
      <c r="V52" s="8">
        <f>1+1/4</f>
        <v>1.25</v>
      </c>
      <c r="W52">
        <v>0</v>
      </c>
      <c r="X52" s="5">
        <f t="shared" si="1"/>
        <v>12.1875</v>
      </c>
      <c r="Y52">
        <v>0</v>
      </c>
      <c r="Z52">
        <v>0</v>
      </c>
      <c r="AA52" s="11">
        <v>0</v>
      </c>
      <c r="AB52" s="11">
        <v>0</v>
      </c>
      <c r="AC52" s="11">
        <v>0</v>
      </c>
      <c r="AD52" s="11">
        <v>0</v>
      </c>
      <c r="AE52" s="11">
        <v>0</v>
      </c>
      <c r="AF52" s="11">
        <f t="shared" si="2"/>
        <v>0</v>
      </c>
      <c r="AG52">
        <v>0</v>
      </c>
      <c r="AH52">
        <v>0</v>
      </c>
      <c r="AI52" t="s">
        <v>758</v>
      </c>
    </row>
    <row r="53" spans="1:38" x14ac:dyDescent="0.25">
      <c r="A53">
        <v>731</v>
      </c>
      <c r="B53" t="s">
        <v>13</v>
      </c>
      <c r="C53" t="s">
        <v>776</v>
      </c>
      <c r="D53" t="s">
        <v>219</v>
      </c>
      <c r="E53">
        <v>1343</v>
      </c>
      <c r="F53" t="s">
        <v>383</v>
      </c>
      <c r="G53">
        <v>13</v>
      </c>
      <c r="H53">
        <v>0</v>
      </c>
      <c r="I53">
        <v>1</v>
      </c>
      <c r="J53" s="8">
        <v>0</v>
      </c>
      <c r="K53" s="8">
        <v>0</v>
      </c>
      <c r="L53">
        <v>0</v>
      </c>
      <c r="M53" s="8">
        <v>0</v>
      </c>
      <c r="N53">
        <v>0</v>
      </c>
      <c r="O53">
        <v>0</v>
      </c>
      <c r="P53" s="5">
        <f t="shared" si="0"/>
        <v>0</v>
      </c>
      <c r="Q53" s="8">
        <v>0</v>
      </c>
      <c r="R53" s="8">
        <v>0</v>
      </c>
      <c r="S53">
        <v>0</v>
      </c>
      <c r="T53" s="8">
        <v>0</v>
      </c>
      <c r="U53" s="11">
        <v>0</v>
      </c>
      <c r="V53" s="8">
        <v>0</v>
      </c>
      <c r="W53">
        <v>0</v>
      </c>
      <c r="X53" s="5">
        <f t="shared" si="1"/>
        <v>0</v>
      </c>
      <c r="Y53">
        <v>0</v>
      </c>
      <c r="Z53">
        <v>0</v>
      </c>
      <c r="AA53" s="11">
        <v>0</v>
      </c>
      <c r="AB53" s="11">
        <v>0</v>
      </c>
      <c r="AC53" s="11">
        <v>0</v>
      </c>
      <c r="AD53" s="11">
        <v>0</v>
      </c>
      <c r="AE53" s="11">
        <v>0</v>
      </c>
      <c r="AF53" s="11">
        <f t="shared" si="2"/>
        <v>0</v>
      </c>
      <c r="AG53">
        <v>0</v>
      </c>
      <c r="AH53">
        <v>0</v>
      </c>
      <c r="AI53" t="s">
        <v>801</v>
      </c>
    </row>
    <row r="54" spans="1:38" x14ac:dyDescent="0.25">
      <c r="A54">
        <v>731</v>
      </c>
      <c r="B54" t="s">
        <v>13</v>
      </c>
      <c r="C54" t="s">
        <v>776</v>
      </c>
      <c r="D54" t="s">
        <v>219</v>
      </c>
      <c r="E54">
        <v>1343</v>
      </c>
      <c r="F54" t="s">
        <v>383</v>
      </c>
      <c r="G54">
        <v>13</v>
      </c>
      <c r="H54">
        <v>0</v>
      </c>
      <c r="I54">
        <v>0</v>
      </c>
      <c r="J54" s="8">
        <v>0</v>
      </c>
      <c r="K54" s="8">
        <v>0</v>
      </c>
      <c r="L54">
        <v>0</v>
      </c>
      <c r="M54" s="8">
        <v>0</v>
      </c>
      <c r="N54">
        <v>0</v>
      </c>
      <c r="O54">
        <v>0</v>
      </c>
      <c r="P54" s="5">
        <f t="shared" si="0"/>
        <v>0</v>
      </c>
      <c r="Q54" s="8">
        <v>0</v>
      </c>
      <c r="R54" s="8">
        <v>0</v>
      </c>
      <c r="S54">
        <v>0</v>
      </c>
      <c r="T54" s="8">
        <v>0</v>
      </c>
      <c r="U54" s="11">
        <v>0</v>
      </c>
      <c r="V54" s="8">
        <v>0</v>
      </c>
      <c r="W54">
        <v>0</v>
      </c>
      <c r="X54" s="5">
        <f t="shared" si="1"/>
        <v>0</v>
      </c>
      <c r="Y54">
        <v>0</v>
      </c>
      <c r="Z54">
        <v>0</v>
      </c>
      <c r="AA54" s="11">
        <v>0</v>
      </c>
      <c r="AB54">
        <f>1/12</f>
        <v>8.3333333333333329E-2</v>
      </c>
      <c r="AC54" s="11">
        <v>0</v>
      </c>
      <c r="AD54" s="11">
        <v>0</v>
      </c>
      <c r="AE54" s="11">
        <v>0</v>
      </c>
      <c r="AF54" s="11">
        <f t="shared" si="2"/>
        <v>8.3333333333333329E-2</v>
      </c>
      <c r="AG54">
        <v>0</v>
      </c>
      <c r="AH54">
        <v>0</v>
      </c>
      <c r="AI54" t="s">
        <v>679</v>
      </c>
    </row>
    <row r="55" spans="1:38" x14ac:dyDescent="0.25">
      <c r="A55">
        <v>741</v>
      </c>
      <c r="B55" t="s">
        <v>19</v>
      </c>
      <c r="C55" t="s">
        <v>776</v>
      </c>
      <c r="D55" t="s">
        <v>219</v>
      </c>
      <c r="E55">
        <v>1343</v>
      </c>
      <c r="F55" t="s">
        <v>383</v>
      </c>
      <c r="G55">
        <v>13</v>
      </c>
      <c r="H55">
        <v>0</v>
      </c>
      <c r="I55" s="8">
        <v>0</v>
      </c>
      <c r="J55" s="8">
        <v>0</v>
      </c>
      <c r="K55" s="8">
        <v>0</v>
      </c>
      <c r="L55">
        <v>0</v>
      </c>
      <c r="M55" s="8">
        <v>0</v>
      </c>
      <c r="N55">
        <v>0</v>
      </c>
      <c r="O55">
        <v>0</v>
      </c>
      <c r="P55" s="5">
        <f t="shared" si="0"/>
        <v>0</v>
      </c>
      <c r="Q55" s="8">
        <v>0</v>
      </c>
      <c r="R55" s="8">
        <v>0</v>
      </c>
      <c r="S55">
        <v>0</v>
      </c>
      <c r="T55" s="8">
        <v>0</v>
      </c>
      <c r="U55" s="11">
        <v>0</v>
      </c>
      <c r="V55" s="8">
        <v>0</v>
      </c>
      <c r="W55">
        <v>0</v>
      </c>
      <c r="X55" s="5">
        <f t="shared" si="1"/>
        <v>0</v>
      </c>
      <c r="Y55">
        <v>0</v>
      </c>
      <c r="Z55">
        <v>0</v>
      </c>
      <c r="AA55" s="11">
        <v>0</v>
      </c>
      <c r="AB55">
        <f>2/12</f>
        <v>0.16666666666666666</v>
      </c>
      <c r="AC55" s="11">
        <v>0</v>
      </c>
      <c r="AD55" s="11">
        <v>0</v>
      </c>
      <c r="AE55" s="11">
        <v>0</v>
      </c>
      <c r="AF55" s="11">
        <f t="shared" si="2"/>
        <v>0.16666666666666666</v>
      </c>
      <c r="AG55">
        <v>0</v>
      </c>
      <c r="AH55">
        <v>0</v>
      </c>
      <c r="AI55" t="s">
        <v>306</v>
      </c>
      <c r="AL55" t="s">
        <v>894</v>
      </c>
    </row>
    <row r="56" spans="1:38" x14ac:dyDescent="0.25">
      <c r="A56">
        <v>742</v>
      </c>
      <c r="B56" t="s">
        <v>19</v>
      </c>
      <c r="C56" t="s">
        <v>776</v>
      </c>
      <c r="D56" t="s">
        <v>219</v>
      </c>
      <c r="E56">
        <v>1343</v>
      </c>
      <c r="F56" t="s">
        <v>817</v>
      </c>
      <c r="G56">
        <v>23</v>
      </c>
      <c r="H56">
        <v>0</v>
      </c>
      <c r="I56" s="8">
        <v>0</v>
      </c>
      <c r="J56" s="8">
        <v>0</v>
      </c>
      <c r="K56" s="8">
        <v>0</v>
      </c>
      <c r="L56">
        <v>0</v>
      </c>
      <c r="M56" s="8">
        <v>0</v>
      </c>
      <c r="N56">
        <v>0</v>
      </c>
      <c r="O56">
        <v>0</v>
      </c>
      <c r="P56" s="5">
        <f t="shared" si="0"/>
        <v>0</v>
      </c>
      <c r="Q56" s="8">
        <v>0</v>
      </c>
      <c r="R56" s="8">
        <v>0</v>
      </c>
      <c r="S56">
        <v>0</v>
      </c>
      <c r="T56" s="8">
        <v>0</v>
      </c>
      <c r="U56" s="11">
        <v>0</v>
      </c>
      <c r="V56" s="8">
        <v>0</v>
      </c>
      <c r="W56">
        <v>0</v>
      </c>
      <c r="X56" s="5">
        <f t="shared" si="1"/>
        <v>0</v>
      </c>
      <c r="Y56">
        <v>0</v>
      </c>
      <c r="Z56">
        <v>0</v>
      </c>
      <c r="AA56" s="11">
        <v>0</v>
      </c>
      <c r="AB56">
        <f>2/12</f>
        <v>0.16666666666666666</v>
      </c>
      <c r="AC56" s="11">
        <v>0</v>
      </c>
      <c r="AD56" s="11">
        <v>0</v>
      </c>
      <c r="AE56" s="11">
        <v>0</v>
      </c>
      <c r="AF56" s="11">
        <f t="shared" si="2"/>
        <v>0.16666666666666666</v>
      </c>
      <c r="AG56">
        <v>0</v>
      </c>
      <c r="AH56">
        <v>0</v>
      </c>
      <c r="AI56" t="s">
        <v>398</v>
      </c>
    </row>
    <row r="57" spans="1:38" x14ac:dyDescent="0.25">
      <c r="A57">
        <v>761</v>
      </c>
      <c r="B57" t="s">
        <v>135</v>
      </c>
      <c r="C57" t="s">
        <v>191</v>
      </c>
      <c r="D57" t="s">
        <v>219</v>
      </c>
      <c r="E57">
        <v>1343</v>
      </c>
      <c r="F57" t="s">
        <v>383</v>
      </c>
      <c r="G57">
        <v>14</v>
      </c>
      <c r="H57">
        <v>0</v>
      </c>
      <c r="I57" s="8">
        <v>0</v>
      </c>
      <c r="J57" s="8">
        <v>0</v>
      </c>
      <c r="K57" s="8">
        <v>0</v>
      </c>
      <c r="L57">
        <v>0</v>
      </c>
      <c r="M57" s="8">
        <v>1</v>
      </c>
      <c r="N57">
        <v>0</v>
      </c>
      <c r="O57">
        <v>0</v>
      </c>
      <c r="P57" s="5">
        <f t="shared" si="0"/>
        <v>4.875</v>
      </c>
      <c r="Q57" s="8">
        <v>0</v>
      </c>
      <c r="R57" s="8">
        <v>0</v>
      </c>
      <c r="S57">
        <v>0</v>
      </c>
      <c r="T57" s="8">
        <v>0</v>
      </c>
      <c r="U57" s="11">
        <v>0</v>
      </c>
      <c r="V57" s="8">
        <v>0</v>
      </c>
      <c r="W57">
        <v>0</v>
      </c>
      <c r="X57" s="5">
        <f t="shared" si="1"/>
        <v>0</v>
      </c>
      <c r="Y57">
        <v>0</v>
      </c>
      <c r="Z57">
        <v>0</v>
      </c>
      <c r="AA57" s="11">
        <v>0</v>
      </c>
      <c r="AB57" s="11">
        <v>0</v>
      </c>
      <c r="AC57" s="11">
        <v>0</v>
      </c>
      <c r="AD57" s="11">
        <v>0</v>
      </c>
      <c r="AE57" s="11">
        <v>0</v>
      </c>
      <c r="AF57" s="11">
        <f t="shared" si="2"/>
        <v>0</v>
      </c>
      <c r="AG57">
        <v>0</v>
      </c>
      <c r="AH57">
        <v>0</v>
      </c>
      <c r="AI57" t="s">
        <v>893</v>
      </c>
    </row>
    <row r="58" spans="1:38" x14ac:dyDescent="0.25">
      <c r="A58">
        <v>771</v>
      </c>
      <c r="B58" t="s">
        <v>104</v>
      </c>
      <c r="C58" t="s">
        <v>191</v>
      </c>
      <c r="D58" t="s">
        <v>219</v>
      </c>
      <c r="E58">
        <v>1343</v>
      </c>
      <c r="F58" t="s">
        <v>383</v>
      </c>
      <c r="G58">
        <v>14</v>
      </c>
      <c r="H58">
        <v>0</v>
      </c>
      <c r="I58" s="8">
        <v>0</v>
      </c>
      <c r="J58" s="8">
        <v>0</v>
      </c>
      <c r="K58" s="8">
        <v>0</v>
      </c>
      <c r="L58" s="8">
        <v>1</v>
      </c>
      <c r="M58" s="8">
        <v>1</v>
      </c>
      <c r="N58">
        <v>0</v>
      </c>
      <c r="O58">
        <v>0</v>
      </c>
      <c r="P58" s="5">
        <f t="shared" si="0"/>
        <v>24.375</v>
      </c>
      <c r="Q58" s="8">
        <v>0</v>
      </c>
      <c r="R58" s="8">
        <v>0</v>
      </c>
      <c r="S58">
        <v>0</v>
      </c>
      <c r="T58" s="8">
        <v>0</v>
      </c>
      <c r="U58" s="11">
        <v>0</v>
      </c>
      <c r="V58" s="8">
        <v>1</v>
      </c>
      <c r="W58">
        <v>0</v>
      </c>
      <c r="X58" s="5">
        <f t="shared" si="1"/>
        <v>9.75</v>
      </c>
      <c r="Y58">
        <v>0</v>
      </c>
      <c r="Z58">
        <v>0</v>
      </c>
      <c r="AA58" s="11">
        <v>0</v>
      </c>
      <c r="AB58">
        <v>0</v>
      </c>
      <c r="AC58" s="11">
        <v>0</v>
      </c>
      <c r="AD58" s="11">
        <v>0</v>
      </c>
      <c r="AE58" s="11">
        <v>0</v>
      </c>
      <c r="AF58" s="11">
        <f t="shared" si="2"/>
        <v>0</v>
      </c>
      <c r="AG58">
        <v>0</v>
      </c>
      <c r="AH58">
        <v>0</v>
      </c>
      <c r="AI58" t="s">
        <v>893</v>
      </c>
    </row>
    <row r="59" spans="1:38" x14ac:dyDescent="0.25">
      <c r="A59">
        <v>781</v>
      </c>
      <c r="B59" t="s">
        <v>13</v>
      </c>
      <c r="C59" t="s">
        <v>191</v>
      </c>
      <c r="D59" t="s">
        <v>219</v>
      </c>
      <c r="E59">
        <v>1343</v>
      </c>
      <c r="F59" t="s">
        <v>383</v>
      </c>
      <c r="G59">
        <v>14</v>
      </c>
      <c r="H59">
        <v>0</v>
      </c>
      <c r="I59" s="8">
        <v>0</v>
      </c>
      <c r="J59" s="8">
        <v>1</v>
      </c>
      <c r="K59" s="8">
        <v>0</v>
      </c>
      <c r="L59" s="8">
        <v>0</v>
      </c>
      <c r="M59" s="8">
        <v>0</v>
      </c>
      <c r="N59">
        <v>0</v>
      </c>
      <c r="O59">
        <v>0</v>
      </c>
      <c r="P59" s="5">
        <f t="shared" si="0"/>
        <v>9.75</v>
      </c>
      <c r="Q59" s="8">
        <v>0</v>
      </c>
      <c r="R59" s="8">
        <v>0</v>
      </c>
      <c r="S59">
        <v>0</v>
      </c>
      <c r="T59" s="8">
        <v>0</v>
      </c>
      <c r="U59" s="11">
        <v>0</v>
      </c>
      <c r="V59" s="8">
        <v>0</v>
      </c>
      <c r="W59">
        <v>0</v>
      </c>
      <c r="X59" s="5">
        <f t="shared" si="1"/>
        <v>0</v>
      </c>
      <c r="Y59">
        <v>0</v>
      </c>
      <c r="Z59">
        <v>0</v>
      </c>
      <c r="AA59" s="11">
        <v>0</v>
      </c>
      <c r="AB59" s="11">
        <v>0</v>
      </c>
      <c r="AC59" s="11">
        <v>0</v>
      </c>
      <c r="AD59" s="11">
        <v>0</v>
      </c>
      <c r="AE59" s="11">
        <v>0</v>
      </c>
      <c r="AF59" s="11">
        <f t="shared" si="2"/>
        <v>0</v>
      </c>
      <c r="AG59">
        <v>0</v>
      </c>
      <c r="AH59">
        <v>0</v>
      </c>
      <c r="AI59" t="s">
        <v>893</v>
      </c>
    </row>
    <row r="60" spans="1:38" x14ac:dyDescent="0.25">
      <c r="A60">
        <v>791</v>
      </c>
      <c r="B60" s="15" t="s">
        <v>1850</v>
      </c>
      <c r="C60" t="s">
        <v>776</v>
      </c>
      <c r="D60" t="s">
        <v>219</v>
      </c>
      <c r="E60">
        <v>1343</v>
      </c>
      <c r="F60" s="5" t="s">
        <v>383</v>
      </c>
      <c r="G60" s="5">
        <v>20</v>
      </c>
      <c r="H60">
        <v>0</v>
      </c>
      <c r="I60" s="8">
        <v>0</v>
      </c>
      <c r="J60" s="8">
        <v>0</v>
      </c>
      <c r="K60" s="8">
        <v>0</v>
      </c>
      <c r="L60" s="8">
        <v>0</v>
      </c>
      <c r="M60" s="8">
        <v>0</v>
      </c>
      <c r="N60">
        <v>0</v>
      </c>
      <c r="O60">
        <v>0</v>
      </c>
      <c r="P60" s="5">
        <f t="shared" si="0"/>
        <v>0</v>
      </c>
      <c r="Q60" s="8">
        <v>0</v>
      </c>
      <c r="R60" s="8">
        <v>0</v>
      </c>
      <c r="S60">
        <v>0</v>
      </c>
      <c r="T60" s="8">
        <v>0</v>
      </c>
      <c r="U60" s="11">
        <v>0</v>
      </c>
      <c r="V60" s="8">
        <v>0</v>
      </c>
      <c r="W60">
        <v>0</v>
      </c>
      <c r="X60" s="5">
        <f t="shared" si="1"/>
        <v>0</v>
      </c>
      <c r="Y60">
        <v>0</v>
      </c>
      <c r="Z60">
        <v>0</v>
      </c>
      <c r="AA60" s="11">
        <v>0</v>
      </c>
      <c r="AB60">
        <f>2/12</f>
        <v>0.16666666666666666</v>
      </c>
      <c r="AC60" s="11">
        <v>0</v>
      </c>
      <c r="AD60" s="11">
        <v>0</v>
      </c>
      <c r="AE60" s="11">
        <v>0</v>
      </c>
      <c r="AF60" s="11">
        <f t="shared" si="2"/>
        <v>0.16666666666666666</v>
      </c>
      <c r="AG60">
        <v>0</v>
      </c>
      <c r="AH60">
        <v>0</v>
      </c>
      <c r="AI60" t="s">
        <v>398</v>
      </c>
      <c r="AJ60" t="s">
        <v>939</v>
      </c>
    </row>
    <row r="61" spans="1:38" x14ac:dyDescent="0.25">
      <c r="A61">
        <v>841</v>
      </c>
      <c r="B61" t="s">
        <v>138</v>
      </c>
      <c r="C61" t="s">
        <v>776</v>
      </c>
      <c r="D61" t="s">
        <v>219</v>
      </c>
      <c r="E61">
        <v>1343</v>
      </c>
      <c r="F61" t="s">
        <v>1038</v>
      </c>
      <c r="G61" s="5">
        <v>23</v>
      </c>
      <c r="H61" s="11">
        <v>0</v>
      </c>
      <c r="I61" s="11">
        <v>0</v>
      </c>
      <c r="J61" s="11">
        <v>0</v>
      </c>
      <c r="K61" s="11">
        <v>0</v>
      </c>
      <c r="L61" s="11">
        <v>0</v>
      </c>
      <c r="M61" s="11">
        <v>0</v>
      </c>
      <c r="N61">
        <v>0</v>
      </c>
      <c r="O61">
        <v>0</v>
      </c>
      <c r="P61" s="5">
        <f t="shared" si="0"/>
        <v>0</v>
      </c>
      <c r="Q61" s="11">
        <v>0</v>
      </c>
      <c r="R61" s="11">
        <v>0</v>
      </c>
      <c r="S61">
        <v>0</v>
      </c>
      <c r="T61" s="11">
        <v>0</v>
      </c>
      <c r="U61" s="11">
        <v>0</v>
      </c>
      <c r="V61" s="11">
        <v>0</v>
      </c>
      <c r="W61">
        <v>0</v>
      </c>
      <c r="X61" s="5">
        <f t="shared" si="1"/>
        <v>0</v>
      </c>
      <c r="Y61">
        <v>0</v>
      </c>
      <c r="Z61">
        <v>0</v>
      </c>
      <c r="AA61" s="11">
        <v>0</v>
      </c>
      <c r="AB61">
        <f>8/12</f>
        <v>0.66666666666666663</v>
      </c>
      <c r="AC61" s="11">
        <v>0</v>
      </c>
      <c r="AD61" s="11">
        <v>0</v>
      </c>
      <c r="AE61" s="11">
        <v>0</v>
      </c>
      <c r="AF61" s="11">
        <f t="shared" si="2"/>
        <v>0.66666666666666663</v>
      </c>
      <c r="AG61">
        <v>0</v>
      </c>
      <c r="AH61">
        <v>0</v>
      </c>
      <c r="AI61" s="5" t="s">
        <v>398</v>
      </c>
      <c r="AK61" t="s">
        <v>1042</v>
      </c>
    </row>
    <row r="62" spans="1:38" x14ac:dyDescent="0.25">
      <c r="A62">
        <v>842</v>
      </c>
      <c r="B62" t="s">
        <v>50</v>
      </c>
      <c r="C62" t="s">
        <v>776</v>
      </c>
      <c r="D62" t="s">
        <v>219</v>
      </c>
      <c r="E62">
        <v>1343</v>
      </c>
      <c r="F62" t="s">
        <v>1038</v>
      </c>
      <c r="G62" s="5">
        <v>23</v>
      </c>
      <c r="H62" s="11">
        <v>0</v>
      </c>
      <c r="I62" s="11">
        <v>0</v>
      </c>
      <c r="J62" s="11">
        <v>0</v>
      </c>
      <c r="K62" s="11">
        <v>0</v>
      </c>
      <c r="L62" s="11">
        <v>0</v>
      </c>
      <c r="M62" s="11">
        <v>0</v>
      </c>
      <c r="N62">
        <v>0</v>
      </c>
      <c r="O62">
        <v>0</v>
      </c>
      <c r="P62" s="5">
        <f t="shared" si="0"/>
        <v>0</v>
      </c>
      <c r="Q62" s="11">
        <v>0</v>
      </c>
      <c r="R62" s="11">
        <v>0</v>
      </c>
      <c r="S62">
        <v>0</v>
      </c>
      <c r="T62" s="11">
        <v>0</v>
      </c>
      <c r="U62" s="11">
        <v>0</v>
      </c>
      <c r="V62" s="11">
        <v>0</v>
      </c>
      <c r="W62">
        <v>0</v>
      </c>
      <c r="X62" s="5">
        <f t="shared" si="1"/>
        <v>0</v>
      </c>
      <c r="Y62">
        <v>0</v>
      </c>
      <c r="Z62">
        <v>0</v>
      </c>
      <c r="AA62" s="11">
        <v>0</v>
      </c>
      <c r="AB62">
        <f>4/12</f>
        <v>0.33333333333333331</v>
      </c>
      <c r="AC62" s="11">
        <v>0</v>
      </c>
      <c r="AD62" s="11">
        <v>0</v>
      </c>
      <c r="AE62" s="11">
        <v>0</v>
      </c>
      <c r="AF62" s="11">
        <f t="shared" si="2"/>
        <v>0.33333333333333331</v>
      </c>
      <c r="AG62">
        <v>0</v>
      </c>
      <c r="AH62">
        <v>0</v>
      </c>
      <c r="AI62" s="5" t="s">
        <v>398</v>
      </c>
      <c r="AK62" t="s">
        <v>804</v>
      </c>
    </row>
    <row r="63" spans="1:38" x14ac:dyDescent="0.25">
      <c r="A63">
        <v>843</v>
      </c>
      <c r="B63" t="s">
        <v>465</v>
      </c>
      <c r="C63" t="s">
        <v>776</v>
      </c>
      <c r="D63" t="s">
        <v>219</v>
      </c>
      <c r="E63">
        <v>1343</v>
      </c>
      <c r="F63" t="s">
        <v>1038</v>
      </c>
      <c r="G63" s="5">
        <v>23</v>
      </c>
      <c r="H63" s="11">
        <v>0</v>
      </c>
      <c r="I63" s="11">
        <v>0</v>
      </c>
      <c r="J63" s="11">
        <v>0</v>
      </c>
      <c r="K63" s="11">
        <v>0</v>
      </c>
      <c r="L63" s="11">
        <v>0</v>
      </c>
      <c r="M63" s="11">
        <v>0</v>
      </c>
      <c r="N63">
        <v>0</v>
      </c>
      <c r="O63">
        <v>0</v>
      </c>
      <c r="P63" s="5">
        <f t="shared" si="0"/>
        <v>0</v>
      </c>
      <c r="Q63" s="11">
        <v>0</v>
      </c>
      <c r="R63" s="11">
        <v>0</v>
      </c>
      <c r="S63">
        <v>0</v>
      </c>
      <c r="T63" s="11">
        <v>0</v>
      </c>
      <c r="U63" s="11">
        <v>0</v>
      </c>
      <c r="V63" s="11">
        <v>0</v>
      </c>
      <c r="W63">
        <v>0</v>
      </c>
      <c r="X63" s="5">
        <f t="shared" si="1"/>
        <v>0</v>
      </c>
      <c r="Y63">
        <v>0</v>
      </c>
      <c r="Z63">
        <v>0</v>
      </c>
      <c r="AA63" s="11">
        <v>0</v>
      </c>
      <c r="AB63">
        <f>12/12</f>
        <v>1</v>
      </c>
      <c r="AC63" s="11">
        <v>0</v>
      </c>
      <c r="AD63" s="11">
        <v>0</v>
      </c>
      <c r="AE63" s="11">
        <v>0</v>
      </c>
      <c r="AF63" s="11">
        <f t="shared" si="2"/>
        <v>1</v>
      </c>
      <c r="AG63">
        <v>0</v>
      </c>
      <c r="AH63">
        <v>0</v>
      </c>
      <c r="AI63" s="5" t="s">
        <v>398</v>
      </c>
      <c r="AK63" t="s">
        <v>1042</v>
      </c>
    </row>
    <row r="64" spans="1:38" x14ac:dyDescent="0.25">
      <c r="A64">
        <v>851</v>
      </c>
      <c r="B64" t="s">
        <v>67</v>
      </c>
      <c r="C64" t="s">
        <v>776</v>
      </c>
      <c r="D64" t="s">
        <v>219</v>
      </c>
      <c r="E64">
        <v>1343</v>
      </c>
      <c r="F64" t="s">
        <v>1038</v>
      </c>
      <c r="G64" s="6" t="s">
        <v>15</v>
      </c>
      <c r="H64" s="11">
        <v>0</v>
      </c>
      <c r="I64" s="11">
        <v>0</v>
      </c>
      <c r="J64" s="11">
        <v>0</v>
      </c>
      <c r="K64" s="11">
        <v>0</v>
      </c>
      <c r="L64" s="11">
        <v>0</v>
      </c>
      <c r="M64" s="11">
        <v>0</v>
      </c>
      <c r="N64">
        <v>0</v>
      </c>
      <c r="O64">
        <v>0</v>
      </c>
      <c r="P64" s="5">
        <f t="shared" si="0"/>
        <v>0</v>
      </c>
      <c r="Q64" s="11">
        <v>0</v>
      </c>
      <c r="R64" s="11">
        <v>0</v>
      </c>
      <c r="S64">
        <v>0</v>
      </c>
      <c r="T64" s="11">
        <v>0</v>
      </c>
      <c r="U64" s="11">
        <v>0</v>
      </c>
      <c r="V64" s="11">
        <v>0</v>
      </c>
      <c r="W64">
        <v>0</v>
      </c>
      <c r="X64" s="5">
        <f t="shared" si="1"/>
        <v>0</v>
      </c>
      <c r="Y64">
        <v>0</v>
      </c>
      <c r="Z64">
        <v>0</v>
      </c>
      <c r="AA64" s="11">
        <v>0</v>
      </c>
      <c r="AB64">
        <f>12/12</f>
        <v>1</v>
      </c>
      <c r="AC64" s="11">
        <v>0</v>
      </c>
      <c r="AD64" s="11">
        <v>0</v>
      </c>
      <c r="AE64" s="11">
        <v>0</v>
      </c>
      <c r="AF64" s="11">
        <f t="shared" si="2"/>
        <v>1</v>
      </c>
      <c r="AG64">
        <v>0</v>
      </c>
      <c r="AH64">
        <v>0</v>
      </c>
      <c r="AI64" s="5" t="s">
        <v>398</v>
      </c>
      <c r="AK64" t="s">
        <v>804</v>
      </c>
    </row>
    <row r="65" spans="1:38" x14ac:dyDescent="0.25">
      <c r="A65">
        <v>852</v>
      </c>
      <c r="B65" t="s">
        <v>11</v>
      </c>
      <c r="C65" t="s">
        <v>776</v>
      </c>
      <c r="D65" t="s">
        <v>219</v>
      </c>
      <c r="E65">
        <v>1343</v>
      </c>
      <c r="F65" t="s">
        <v>1038</v>
      </c>
      <c r="G65" s="6" t="s">
        <v>15</v>
      </c>
      <c r="H65" s="11">
        <v>0</v>
      </c>
      <c r="I65" s="11">
        <v>0</v>
      </c>
      <c r="J65" s="11">
        <v>0</v>
      </c>
      <c r="K65" s="11">
        <v>0</v>
      </c>
      <c r="L65" s="11">
        <v>0</v>
      </c>
      <c r="M65" s="11">
        <v>0</v>
      </c>
      <c r="N65">
        <v>0</v>
      </c>
      <c r="O65">
        <v>0</v>
      </c>
      <c r="P65" s="5">
        <f t="shared" si="0"/>
        <v>0</v>
      </c>
      <c r="Q65" s="11">
        <v>0</v>
      </c>
      <c r="R65" s="11">
        <v>0</v>
      </c>
      <c r="S65">
        <v>0</v>
      </c>
      <c r="T65" s="11">
        <v>0</v>
      </c>
      <c r="U65" s="11">
        <v>0</v>
      </c>
      <c r="V65" s="11">
        <v>0</v>
      </c>
      <c r="W65">
        <v>0</v>
      </c>
      <c r="X65" s="5">
        <f t="shared" si="1"/>
        <v>0</v>
      </c>
      <c r="Y65">
        <v>0</v>
      </c>
      <c r="Z65">
        <v>0</v>
      </c>
      <c r="AA65" s="11">
        <v>0</v>
      </c>
      <c r="AB65">
        <f>4/12</f>
        <v>0.33333333333333331</v>
      </c>
      <c r="AC65" s="11">
        <v>0</v>
      </c>
      <c r="AD65" s="11">
        <v>0</v>
      </c>
      <c r="AE65" s="11">
        <v>0</v>
      </c>
      <c r="AF65" s="11">
        <f t="shared" si="2"/>
        <v>0.33333333333333331</v>
      </c>
      <c r="AG65">
        <v>0</v>
      </c>
      <c r="AH65">
        <v>0</v>
      </c>
      <c r="AI65" s="5" t="s">
        <v>398</v>
      </c>
      <c r="AK65" t="s">
        <v>1042</v>
      </c>
    </row>
    <row r="66" spans="1:38" x14ac:dyDescent="0.25">
      <c r="A66">
        <v>861</v>
      </c>
      <c r="B66" t="s">
        <v>19</v>
      </c>
      <c r="C66" t="s">
        <v>776</v>
      </c>
      <c r="D66" t="s">
        <v>219</v>
      </c>
      <c r="E66">
        <v>1343</v>
      </c>
      <c r="F66" t="s">
        <v>1038</v>
      </c>
      <c r="G66" s="9" t="s">
        <v>1059</v>
      </c>
      <c r="H66" s="11">
        <v>0</v>
      </c>
      <c r="I66" s="11">
        <v>0</v>
      </c>
      <c r="J66" s="11">
        <v>0</v>
      </c>
      <c r="K66" s="11">
        <v>0</v>
      </c>
      <c r="L66" s="11">
        <v>0</v>
      </c>
      <c r="M66" s="11">
        <v>0</v>
      </c>
      <c r="N66">
        <v>0</v>
      </c>
      <c r="O66">
        <v>0</v>
      </c>
      <c r="P66" s="5">
        <f t="shared" si="0"/>
        <v>0</v>
      </c>
      <c r="Q66" s="11">
        <v>0</v>
      </c>
      <c r="R66" s="11">
        <v>0</v>
      </c>
      <c r="S66">
        <v>0</v>
      </c>
      <c r="T66" s="11">
        <v>0</v>
      </c>
      <c r="U66" s="11">
        <v>0</v>
      </c>
      <c r="V66" s="11">
        <v>0</v>
      </c>
      <c r="W66">
        <v>0</v>
      </c>
      <c r="X66" s="5">
        <f t="shared" si="1"/>
        <v>0</v>
      </c>
      <c r="Y66">
        <v>0</v>
      </c>
      <c r="Z66">
        <v>0</v>
      </c>
      <c r="AA66" s="11">
        <v>0</v>
      </c>
      <c r="AB66" s="11">
        <f>8/12</f>
        <v>0.66666666666666663</v>
      </c>
      <c r="AC66" s="11">
        <v>0</v>
      </c>
      <c r="AD66" s="11">
        <v>0</v>
      </c>
      <c r="AE66" s="11">
        <v>0</v>
      </c>
      <c r="AF66" s="11">
        <f t="shared" si="2"/>
        <v>0.66666666666666663</v>
      </c>
      <c r="AG66">
        <v>0</v>
      </c>
      <c r="AH66">
        <v>0</v>
      </c>
      <c r="AI66" s="5" t="s">
        <v>398</v>
      </c>
    </row>
    <row r="67" spans="1:38" x14ac:dyDescent="0.25">
      <c r="A67">
        <v>863</v>
      </c>
      <c r="B67" t="s">
        <v>1074</v>
      </c>
      <c r="C67" t="s">
        <v>776</v>
      </c>
      <c r="D67" t="s">
        <v>220</v>
      </c>
      <c r="E67">
        <v>1343</v>
      </c>
      <c r="F67" t="s">
        <v>1038</v>
      </c>
      <c r="G67" s="9" t="s">
        <v>1059</v>
      </c>
      <c r="H67" s="11">
        <v>0</v>
      </c>
      <c r="I67" s="11">
        <v>0</v>
      </c>
      <c r="J67" s="11">
        <v>0</v>
      </c>
      <c r="K67" s="11">
        <v>0</v>
      </c>
      <c r="L67" s="11">
        <v>0</v>
      </c>
      <c r="M67" s="8">
        <v>1.5</v>
      </c>
      <c r="N67">
        <v>0</v>
      </c>
      <c r="O67">
        <v>0</v>
      </c>
      <c r="P67" s="5">
        <f t="shared" ref="P67:P130" si="3">(K67+L67/2+J67/4+M67/8+N67/16+O67/32)*39</f>
        <v>7.3125</v>
      </c>
      <c r="Q67" s="11">
        <v>0</v>
      </c>
      <c r="R67" s="11">
        <v>0</v>
      </c>
      <c r="S67">
        <v>0</v>
      </c>
      <c r="T67" s="8">
        <v>1.5</v>
      </c>
      <c r="U67" s="11">
        <v>0</v>
      </c>
      <c r="V67" s="11">
        <v>0</v>
      </c>
      <c r="W67">
        <v>0</v>
      </c>
      <c r="X67" s="5">
        <f t="shared" ref="X67:X130" si="4">(R67+S67/2+V67/4+T67/8+U67/16+W67/32)*39</f>
        <v>7.3125</v>
      </c>
      <c r="Y67">
        <v>0</v>
      </c>
      <c r="Z67">
        <v>0</v>
      </c>
      <c r="AA67" s="11">
        <v>0</v>
      </c>
      <c r="AB67" s="11">
        <f>18/12</f>
        <v>1.5</v>
      </c>
      <c r="AC67" s="11">
        <v>0</v>
      </c>
      <c r="AD67" s="11">
        <v>0</v>
      </c>
      <c r="AE67" s="11">
        <v>0</v>
      </c>
      <c r="AF67" s="11">
        <f t="shared" ref="AF67:AF130" si="5">AB67+AC67/48+AD67/24+AE67/48</f>
        <v>1.5</v>
      </c>
      <c r="AG67">
        <v>0</v>
      </c>
      <c r="AH67">
        <v>0</v>
      </c>
      <c r="AI67" s="5" t="s">
        <v>398</v>
      </c>
    </row>
    <row r="68" spans="1:38" x14ac:dyDescent="0.25">
      <c r="A68">
        <v>863</v>
      </c>
      <c r="B68" t="s">
        <v>1074</v>
      </c>
      <c r="C68" t="s">
        <v>776</v>
      </c>
      <c r="D68" t="s">
        <v>220</v>
      </c>
      <c r="E68">
        <v>1343</v>
      </c>
      <c r="F68" t="s">
        <v>1038</v>
      </c>
      <c r="G68" s="9" t="s">
        <v>1059</v>
      </c>
      <c r="H68" s="11">
        <v>0</v>
      </c>
      <c r="I68" s="11">
        <v>0</v>
      </c>
      <c r="J68" s="11">
        <v>0</v>
      </c>
      <c r="K68" s="11">
        <v>0</v>
      </c>
      <c r="L68" s="11">
        <v>0</v>
      </c>
      <c r="M68" s="11">
        <v>0</v>
      </c>
      <c r="N68">
        <v>0</v>
      </c>
      <c r="O68">
        <v>0</v>
      </c>
      <c r="P68" s="5">
        <f t="shared" si="3"/>
        <v>0</v>
      </c>
      <c r="Q68" s="11">
        <v>0</v>
      </c>
      <c r="R68" s="11">
        <v>0</v>
      </c>
      <c r="S68">
        <v>0</v>
      </c>
      <c r="T68" s="11">
        <v>0</v>
      </c>
      <c r="U68" s="11">
        <v>0</v>
      </c>
      <c r="V68" s="11">
        <v>0</v>
      </c>
      <c r="W68">
        <v>0</v>
      </c>
      <c r="X68" s="5">
        <f t="shared" si="4"/>
        <v>0</v>
      </c>
      <c r="Y68">
        <v>0</v>
      </c>
      <c r="Z68">
        <v>0</v>
      </c>
      <c r="AA68" s="11">
        <v>0</v>
      </c>
      <c r="AB68" s="11">
        <f>2/12</f>
        <v>0.16666666666666666</v>
      </c>
      <c r="AC68" s="11">
        <v>0</v>
      </c>
      <c r="AD68" s="11">
        <v>0</v>
      </c>
      <c r="AE68" s="11">
        <v>0</v>
      </c>
      <c r="AF68" s="11">
        <f t="shared" si="5"/>
        <v>0.16666666666666666</v>
      </c>
      <c r="AG68">
        <v>0</v>
      </c>
      <c r="AH68">
        <v>0</v>
      </c>
      <c r="AI68" s="5" t="s">
        <v>679</v>
      </c>
    </row>
    <row r="69" spans="1:38" x14ac:dyDescent="0.25">
      <c r="A69">
        <v>871</v>
      </c>
      <c r="B69" t="s">
        <v>465</v>
      </c>
      <c r="C69" t="s">
        <v>776</v>
      </c>
      <c r="D69" t="s">
        <v>219</v>
      </c>
      <c r="E69">
        <v>1343</v>
      </c>
      <c r="F69" t="s">
        <v>1082</v>
      </c>
      <c r="G69">
        <v>26</v>
      </c>
      <c r="H69" s="11">
        <v>0</v>
      </c>
      <c r="I69" s="11">
        <v>0</v>
      </c>
      <c r="J69" s="11">
        <v>0</v>
      </c>
      <c r="K69" s="11">
        <v>0</v>
      </c>
      <c r="L69" s="11">
        <v>0</v>
      </c>
      <c r="M69" s="11">
        <v>0</v>
      </c>
      <c r="N69">
        <v>0</v>
      </c>
      <c r="O69">
        <v>0</v>
      </c>
      <c r="P69" s="5">
        <f t="shared" si="3"/>
        <v>0</v>
      </c>
      <c r="Q69" s="11">
        <v>0</v>
      </c>
      <c r="R69" s="11">
        <v>0</v>
      </c>
      <c r="S69">
        <v>0</v>
      </c>
      <c r="T69" s="11">
        <v>0</v>
      </c>
      <c r="U69" s="11">
        <v>0</v>
      </c>
      <c r="V69" s="11">
        <v>0</v>
      </c>
      <c r="W69">
        <v>0</v>
      </c>
      <c r="X69" s="5">
        <f t="shared" si="4"/>
        <v>0</v>
      </c>
      <c r="Y69">
        <v>0</v>
      </c>
      <c r="Z69">
        <v>0</v>
      </c>
      <c r="AA69" s="11">
        <v>0</v>
      </c>
      <c r="AB69">
        <v>18</v>
      </c>
      <c r="AC69" s="11">
        <v>0</v>
      </c>
      <c r="AD69" s="11">
        <v>0</v>
      </c>
      <c r="AE69" s="11">
        <v>0</v>
      </c>
      <c r="AF69" s="11">
        <f t="shared" si="5"/>
        <v>18</v>
      </c>
      <c r="AG69">
        <v>0</v>
      </c>
      <c r="AH69">
        <v>0</v>
      </c>
      <c r="AI69" s="5" t="s">
        <v>1092</v>
      </c>
    </row>
    <row r="70" spans="1:38" x14ac:dyDescent="0.25">
      <c r="A70">
        <v>881</v>
      </c>
      <c r="B70" t="s">
        <v>3831</v>
      </c>
      <c r="C70" t="s">
        <v>68</v>
      </c>
      <c r="D70" t="s">
        <v>219</v>
      </c>
      <c r="E70">
        <v>1343</v>
      </c>
      <c r="F70" t="s">
        <v>1082</v>
      </c>
      <c r="G70">
        <v>30</v>
      </c>
      <c r="H70" s="11">
        <v>0</v>
      </c>
      <c r="I70" s="11">
        <v>0</v>
      </c>
      <c r="J70" s="11">
        <v>0</v>
      </c>
      <c r="K70" s="11">
        <v>0</v>
      </c>
      <c r="L70" s="11">
        <v>0</v>
      </c>
      <c r="M70" s="11">
        <v>3</v>
      </c>
      <c r="N70">
        <v>0</v>
      </c>
      <c r="O70">
        <v>0</v>
      </c>
      <c r="P70" s="5">
        <f t="shared" si="3"/>
        <v>14.625</v>
      </c>
      <c r="Q70" s="11">
        <v>0</v>
      </c>
      <c r="R70" s="11">
        <v>0</v>
      </c>
      <c r="S70">
        <v>0</v>
      </c>
      <c r="T70" s="11">
        <f>1/2</f>
        <v>0.5</v>
      </c>
      <c r="U70" s="11">
        <v>0</v>
      </c>
      <c r="V70" s="11">
        <v>0</v>
      </c>
      <c r="W70">
        <v>0</v>
      </c>
      <c r="X70" s="5">
        <f t="shared" si="4"/>
        <v>2.4375</v>
      </c>
      <c r="Y70">
        <v>0</v>
      </c>
      <c r="Z70">
        <v>0</v>
      </c>
      <c r="AA70" s="11">
        <v>0</v>
      </c>
      <c r="AB70">
        <f>20/12</f>
        <v>1.6666666666666667</v>
      </c>
      <c r="AC70" s="11">
        <v>0</v>
      </c>
      <c r="AD70" s="11">
        <v>0</v>
      </c>
      <c r="AE70" s="11">
        <v>0</v>
      </c>
      <c r="AF70" s="11">
        <f t="shared" si="5"/>
        <v>1.6666666666666667</v>
      </c>
      <c r="AG70">
        <v>0</v>
      </c>
      <c r="AH70">
        <v>0</v>
      </c>
      <c r="AI70" s="5" t="s">
        <v>1118</v>
      </c>
    </row>
    <row r="71" spans="1:38" x14ac:dyDescent="0.25">
      <c r="A71">
        <v>881</v>
      </c>
      <c r="B71" t="s">
        <v>3831</v>
      </c>
      <c r="C71" t="s">
        <v>68</v>
      </c>
      <c r="D71" t="s">
        <v>219</v>
      </c>
      <c r="E71">
        <v>1343</v>
      </c>
      <c r="F71" t="s">
        <v>1082</v>
      </c>
      <c r="G71">
        <v>30</v>
      </c>
      <c r="H71" s="11">
        <v>0</v>
      </c>
      <c r="I71" s="11">
        <v>0</v>
      </c>
      <c r="J71" s="11">
        <v>1</v>
      </c>
      <c r="K71" s="11">
        <v>0</v>
      </c>
      <c r="L71" s="11">
        <v>0</v>
      </c>
      <c r="M71" s="11">
        <f>1/2</f>
        <v>0.5</v>
      </c>
      <c r="N71">
        <v>0</v>
      </c>
      <c r="O71">
        <v>0</v>
      </c>
      <c r="P71" s="5">
        <f t="shared" si="3"/>
        <v>12.1875</v>
      </c>
      <c r="Q71" s="11">
        <v>0</v>
      </c>
      <c r="R71" s="11">
        <v>0</v>
      </c>
      <c r="S71">
        <v>0</v>
      </c>
      <c r="T71" s="11">
        <v>1</v>
      </c>
      <c r="U71" s="11">
        <v>0</v>
      </c>
      <c r="V71" s="11">
        <v>0</v>
      </c>
      <c r="W71">
        <f>-1/2</f>
        <v>-0.5</v>
      </c>
      <c r="X71" s="5">
        <f t="shared" si="4"/>
        <v>4.265625</v>
      </c>
      <c r="Y71">
        <v>0</v>
      </c>
      <c r="Z71">
        <v>0</v>
      </c>
      <c r="AA71" s="11">
        <v>0</v>
      </c>
      <c r="AB71" s="11">
        <v>16</v>
      </c>
      <c r="AC71" s="11">
        <v>0</v>
      </c>
      <c r="AD71" s="11">
        <v>1</v>
      </c>
      <c r="AE71" s="11">
        <v>0</v>
      </c>
      <c r="AF71" s="11">
        <f t="shared" si="5"/>
        <v>16.041666666666668</v>
      </c>
      <c r="AG71">
        <v>0</v>
      </c>
      <c r="AH71">
        <v>0</v>
      </c>
      <c r="AI71" s="5" t="s">
        <v>1120</v>
      </c>
    </row>
    <row r="72" spans="1:38" x14ac:dyDescent="0.25">
      <c r="A72">
        <v>881</v>
      </c>
      <c r="B72" t="s">
        <v>3831</v>
      </c>
      <c r="C72" t="s">
        <v>68</v>
      </c>
      <c r="D72" t="s">
        <v>219</v>
      </c>
      <c r="E72">
        <v>1343</v>
      </c>
      <c r="F72" t="s">
        <v>1082</v>
      </c>
      <c r="G72">
        <v>30</v>
      </c>
      <c r="H72" s="11">
        <v>0</v>
      </c>
      <c r="I72" s="11">
        <v>0</v>
      </c>
      <c r="J72" s="11">
        <v>0</v>
      </c>
      <c r="K72" s="11">
        <v>0</v>
      </c>
      <c r="L72" s="11">
        <v>0</v>
      </c>
      <c r="M72" s="11">
        <v>1</v>
      </c>
      <c r="N72">
        <v>0</v>
      </c>
      <c r="O72">
        <v>0</v>
      </c>
      <c r="P72" s="5">
        <f t="shared" si="3"/>
        <v>4.875</v>
      </c>
      <c r="Q72" s="11">
        <v>0</v>
      </c>
      <c r="R72" s="11">
        <v>0</v>
      </c>
      <c r="S72">
        <v>0</v>
      </c>
      <c r="T72" s="11">
        <v>1</v>
      </c>
      <c r="U72" s="11">
        <v>0</v>
      </c>
      <c r="V72" s="11">
        <v>0</v>
      </c>
      <c r="W72">
        <v>0</v>
      </c>
      <c r="X72" s="5">
        <f t="shared" si="4"/>
        <v>4.875</v>
      </c>
      <c r="Y72">
        <v>0</v>
      </c>
      <c r="Z72">
        <v>0</v>
      </c>
      <c r="AA72" s="11">
        <v>0</v>
      </c>
      <c r="AB72" s="11">
        <v>0</v>
      </c>
      <c r="AC72" s="11">
        <v>0</v>
      </c>
      <c r="AD72" s="11">
        <v>1</v>
      </c>
      <c r="AE72" s="11">
        <v>0</v>
      </c>
      <c r="AF72" s="11">
        <f t="shared" si="5"/>
        <v>4.1666666666666664E-2</v>
      </c>
      <c r="AG72">
        <v>0</v>
      </c>
      <c r="AH72">
        <v>0</v>
      </c>
      <c r="AI72" s="5" t="s">
        <v>1123</v>
      </c>
      <c r="AL72" t="s">
        <v>1126</v>
      </c>
    </row>
    <row r="73" spans="1:38" x14ac:dyDescent="0.25">
      <c r="A73">
        <v>881</v>
      </c>
      <c r="B73" t="s">
        <v>3831</v>
      </c>
      <c r="C73" t="s">
        <v>68</v>
      </c>
      <c r="D73" t="s">
        <v>219</v>
      </c>
      <c r="E73">
        <v>1343</v>
      </c>
      <c r="F73" t="s">
        <v>1082</v>
      </c>
      <c r="G73">
        <v>30</v>
      </c>
      <c r="H73" s="11">
        <v>0</v>
      </c>
      <c r="I73" s="11">
        <v>0</v>
      </c>
      <c r="J73" s="11">
        <v>0</v>
      </c>
      <c r="K73" s="11">
        <v>0</v>
      </c>
      <c r="L73" s="11">
        <v>0</v>
      </c>
      <c r="M73" s="11">
        <v>0</v>
      </c>
      <c r="N73">
        <v>0</v>
      </c>
      <c r="O73">
        <v>0</v>
      </c>
      <c r="P73" s="5">
        <f t="shared" si="3"/>
        <v>0</v>
      </c>
      <c r="Q73" s="11">
        <v>0</v>
      </c>
      <c r="R73" s="11">
        <v>0</v>
      </c>
      <c r="S73">
        <v>0</v>
      </c>
      <c r="T73" s="11">
        <v>0</v>
      </c>
      <c r="U73" s="11">
        <v>0</v>
      </c>
      <c r="V73" s="11">
        <v>0</v>
      </c>
      <c r="W73">
        <v>0</v>
      </c>
      <c r="X73" s="5">
        <f t="shared" si="4"/>
        <v>0</v>
      </c>
      <c r="Y73">
        <v>0</v>
      </c>
      <c r="Z73">
        <v>0</v>
      </c>
      <c r="AA73" s="11">
        <v>0</v>
      </c>
      <c r="AB73" s="11">
        <v>0</v>
      </c>
      <c r="AC73" s="11">
        <v>0</v>
      </c>
      <c r="AD73" s="11">
        <v>3</v>
      </c>
      <c r="AE73" s="11">
        <v>0</v>
      </c>
      <c r="AF73" s="11">
        <f t="shared" si="5"/>
        <v>0.125</v>
      </c>
      <c r="AG73">
        <v>0</v>
      </c>
      <c r="AH73">
        <v>0</v>
      </c>
      <c r="AI73" s="5" t="s">
        <v>1123</v>
      </c>
      <c r="AL73" t="s">
        <v>1126</v>
      </c>
    </row>
    <row r="74" spans="1:38" x14ac:dyDescent="0.25">
      <c r="A74">
        <v>881</v>
      </c>
      <c r="B74" t="s">
        <v>3831</v>
      </c>
      <c r="C74" t="s">
        <v>68</v>
      </c>
      <c r="D74" t="s">
        <v>219</v>
      </c>
      <c r="E74">
        <v>1343</v>
      </c>
      <c r="F74" t="s">
        <v>1082</v>
      </c>
      <c r="G74">
        <v>30</v>
      </c>
      <c r="H74" s="11">
        <v>0</v>
      </c>
      <c r="I74" s="11">
        <v>0</v>
      </c>
      <c r="J74" s="11">
        <v>0</v>
      </c>
      <c r="K74" s="11">
        <v>0</v>
      </c>
      <c r="L74" s="11">
        <v>0</v>
      </c>
      <c r="M74" s="11">
        <v>0</v>
      </c>
      <c r="N74">
        <v>0</v>
      </c>
      <c r="O74">
        <v>0</v>
      </c>
      <c r="P74" s="5">
        <f t="shared" si="3"/>
        <v>0</v>
      </c>
      <c r="Q74" s="11">
        <v>0</v>
      </c>
      <c r="R74" s="11">
        <v>0</v>
      </c>
      <c r="S74">
        <v>0</v>
      </c>
      <c r="T74" s="11">
        <v>0</v>
      </c>
      <c r="U74" s="11">
        <v>0</v>
      </c>
      <c r="V74" s="11">
        <v>0</v>
      </c>
      <c r="W74" s="11">
        <v>0</v>
      </c>
      <c r="X74" s="5">
        <f t="shared" si="4"/>
        <v>0</v>
      </c>
      <c r="Y74">
        <v>0</v>
      </c>
      <c r="Z74">
        <v>0</v>
      </c>
      <c r="AA74" s="11">
        <v>0</v>
      </c>
      <c r="AB74" s="11">
        <f>1/12</f>
        <v>8.3333333333333329E-2</v>
      </c>
      <c r="AC74" s="11">
        <v>0</v>
      </c>
      <c r="AD74" s="11">
        <v>0</v>
      </c>
      <c r="AE74" s="11">
        <v>0</v>
      </c>
      <c r="AF74" s="11">
        <f t="shared" si="5"/>
        <v>8.3333333333333329E-2</v>
      </c>
      <c r="AG74">
        <v>0</v>
      </c>
      <c r="AH74">
        <v>0</v>
      </c>
      <c r="AI74" s="5" t="s">
        <v>679</v>
      </c>
    </row>
    <row r="75" spans="1:38" x14ac:dyDescent="0.25">
      <c r="A75">
        <v>891</v>
      </c>
      <c r="B75" t="s">
        <v>465</v>
      </c>
      <c r="C75" t="s">
        <v>1149</v>
      </c>
      <c r="D75" t="s">
        <v>219</v>
      </c>
      <c r="E75">
        <v>1443</v>
      </c>
      <c r="F75" t="s">
        <v>383</v>
      </c>
      <c r="G75">
        <v>16</v>
      </c>
      <c r="H75">
        <v>2</v>
      </c>
      <c r="I75" s="11">
        <v>0</v>
      </c>
      <c r="J75" s="11">
        <v>0</v>
      </c>
      <c r="K75" s="11">
        <v>0</v>
      </c>
      <c r="L75" s="11">
        <v>0</v>
      </c>
      <c r="M75" s="11">
        <v>0</v>
      </c>
      <c r="N75">
        <v>0</v>
      </c>
      <c r="O75">
        <v>0</v>
      </c>
      <c r="P75" s="5">
        <f t="shared" si="3"/>
        <v>0</v>
      </c>
      <c r="Q75" s="11">
        <v>0</v>
      </c>
      <c r="R75" s="11">
        <v>0</v>
      </c>
      <c r="S75">
        <v>0</v>
      </c>
      <c r="T75" s="11">
        <v>0</v>
      </c>
      <c r="U75" s="11">
        <v>0</v>
      </c>
      <c r="V75" s="11">
        <v>0</v>
      </c>
      <c r="W75" s="11">
        <v>0</v>
      </c>
      <c r="X75" s="5">
        <f t="shared" si="4"/>
        <v>0</v>
      </c>
      <c r="Y75">
        <v>0</v>
      </c>
      <c r="Z75">
        <v>0</v>
      </c>
      <c r="AA75" s="11">
        <v>0</v>
      </c>
      <c r="AB75" s="11">
        <v>0</v>
      </c>
      <c r="AC75" s="11">
        <v>0</v>
      </c>
      <c r="AD75" s="11">
        <v>0</v>
      </c>
      <c r="AE75" s="11">
        <v>0</v>
      </c>
      <c r="AF75" s="11">
        <f t="shared" si="5"/>
        <v>0</v>
      </c>
      <c r="AG75">
        <v>0</v>
      </c>
      <c r="AH75">
        <v>0</v>
      </c>
      <c r="AI75" s="5" t="s">
        <v>1158</v>
      </c>
    </row>
    <row r="76" spans="1:38" x14ac:dyDescent="0.25">
      <c r="A76">
        <v>891</v>
      </c>
      <c r="B76" t="s">
        <v>465</v>
      </c>
      <c r="C76" t="s">
        <v>1149</v>
      </c>
      <c r="D76" t="s">
        <v>219</v>
      </c>
      <c r="E76">
        <v>1443</v>
      </c>
      <c r="F76" t="s">
        <v>383</v>
      </c>
      <c r="G76">
        <v>16</v>
      </c>
      <c r="H76" s="11">
        <v>0</v>
      </c>
      <c r="I76" s="11">
        <v>0</v>
      </c>
      <c r="J76" s="11">
        <v>0</v>
      </c>
      <c r="K76" s="11">
        <v>0</v>
      </c>
      <c r="L76" s="11">
        <v>0</v>
      </c>
      <c r="M76" s="11">
        <v>0</v>
      </c>
      <c r="N76">
        <v>0</v>
      </c>
      <c r="O76">
        <v>0</v>
      </c>
      <c r="P76" s="5">
        <f t="shared" si="3"/>
        <v>0</v>
      </c>
      <c r="Q76" s="11">
        <v>0</v>
      </c>
      <c r="R76" s="11">
        <v>0</v>
      </c>
      <c r="S76">
        <v>0</v>
      </c>
      <c r="T76" s="11">
        <v>0</v>
      </c>
      <c r="U76" s="11">
        <v>0</v>
      </c>
      <c r="V76" s="11">
        <v>0</v>
      </c>
      <c r="W76" s="11">
        <v>0</v>
      </c>
      <c r="X76" s="5">
        <f t="shared" si="4"/>
        <v>0</v>
      </c>
      <c r="Y76">
        <v>0</v>
      </c>
      <c r="Z76">
        <v>0</v>
      </c>
      <c r="AA76" s="11">
        <v>0</v>
      </c>
      <c r="AB76">
        <f>3/12</f>
        <v>0.25</v>
      </c>
      <c r="AC76" s="11">
        <v>0</v>
      </c>
      <c r="AD76" s="11">
        <v>0</v>
      </c>
      <c r="AE76" s="11">
        <v>0</v>
      </c>
      <c r="AF76" s="11">
        <f t="shared" si="5"/>
        <v>0.25</v>
      </c>
      <c r="AG76">
        <v>0</v>
      </c>
      <c r="AH76">
        <v>0</v>
      </c>
      <c r="AI76" s="5" t="s">
        <v>679</v>
      </c>
      <c r="AJ76" s="5" t="s">
        <v>1159</v>
      </c>
    </row>
    <row r="77" spans="1:38" x14ac:dyDescent="0.25">
      <c r="A77">
        <v>891</v>
      </c>
      <c r="B77" t="s">
        <v>465</v>
      </c>
      <c r="C77" t="s">
        <v>1149</v>
      </c>
      <c r="D77" t="s">
        <v>219</v>
      </c>
      <c r="E77">
        <v>1443</v>
      </c>
      <c r="F77" t="s">
        <v>383</v>
      </c>
      <c r="G77">
        <v>16</v>
      </c>
      <c r="H77" s="11">
        <v>0</v>
      </c>
      <c r="I77" s="11">
        <v>0</v>
      </c>
      <c r="J77" s="11">
        <v>0</v>
      </c>
      <c r="K77" s="11">
        <v>0</v>
      </c>
      <c r="L77" s="11">
        <v>0</v>
      </c>
      <c r="M77" s="11">
        <v>0</v>
      </c>
      <c r="N77">
        <v>0</v>
      </c>
      <c r="O77">
        <v>0</v>
      </c>
      <c r="P77" s="5">
        <f t="shared" si="3"/>
        <v>0</v>
      </c>
      <c r="Q77" s="11">
        <v>0</v>
      </c>
      <c r="R77" s="11">
        <v>0</v>
      </c>
      <c r="S77">
        <v>1</v>
      </c>
      <c r="T77" s="11">
        <v>0</v>
      </c>
      <c r="U77" s="11">
        <v>0</v>
      </c>
      <c r="V77" s="11">
        <v>0</v>
      </c>
      <c r="W77" s="11">
        <v>0</v>
      </c>
      <c r="X77" s="5">
        <f t="shared" si="4"/>
        <v>19.5</v>
      </c>
      <c r="Y77">
        <v>0</v>
      </c>
      <c r="Z77">
        <v>0</v>
      </c>
      <c r="AA77" s="11">
        <v>0</v>
      </c>
      <c r="AB77" s="11">
        <f>20/12</f>
        <v>1.6666666666666667</v>
      </c>
      <c r="AC77" s="11">
        <v>0</v>
      </c>
      <c r="AD77" s="11">
        <v>0</v>
      </c>
      <c r="AE77" s="11">
        <v>0</v>
      </c>
      <c r="AF77" s="11">
        <f t="shared" si="5"/>
        <v>1.6666666666666667</v>
      </c>
      <c r="AG77">
        <v>0</v>
      </c>
      <c r="AH77">
        <v>0</v>
      </c>
      <c r="AI77" s="5" t="s">
        <v>1162</v>
      </c>
    </row>
    <row r="78" spans="1:38" x14ac:dyDescent="0.25">
      <c r="A78">
        <v>891</v>
      </c>
      <c r="B78" t="s">
        <v>465</v>
      </c>
      <c r="C78" t="s">
        <v>1149</v>
      </c>
      <c r="D78" t="s">
        <v>219</v>
      </c>
      <c r="E78">
        <v>1443</v>
      </c>
      <c r="F78" t="s">
        <v>383</v>
      </c>
      <c r="G78">
        <v>16</v>
      </c>
      <c r="H78" s="11">
        <v>0</v>
      </c>
      <c r="I78" s="11">
        <v>0</v>
      </c>
      <c r="J78" s="11">
        <v>0</v>
      </c>
      <c r="K78" s="11">
        <v>0</v>
      </c>
      <c r="L78" s="11">
        <v>0</v>
      </c>
      <c r="M78" s="11">
        <v>0</v>
      </c>
      <c r="N78">
        <v>0</v>
      </c>
      <c r="O78">
        <v>0</v>
      </c>
      <c r="P78" s="5">
        <f t="shared" si="3"/>
        <v>0</v>
      </c>
      <c r="Q78" s="11">
        <v>0</v>
      </c>
      <c r="R78" s="11">
        <v>0</v>
      </c>
      <c r="S78" s="11">
        <v>0</v>
      </c>
      <c r="T78" s="11">
        <v>0</v>
      </c>
      <c r="U78" s="11">
        <v>0</v>
      </c>
      <c r="V78" s="11">
        <v>0</v>
      </c>
      <c r="W78" s="11">
        <v>0</v>
      </c>
      <c r="X78" s="5">
        <f t="shared" si="4"/>
        <v>0</v>
      </c>
      <c r="Y78">
        <v>0</v>
      </c>
      <c r="Z78">
        <v>0</v>
      </c>
      <c r="AA78" s="11">
        <v>0</v>
      </c>
      <c r="AB78">
        <f>3/12</f>
        <v>0.25</v>
      </c>
      <c r="AC78" s="11">
        <v>0</v>
      </c>
      <c r="AD78" s="11">
        <v>0</v>
      </c>
      <c r="AE78" s="11">
        <v>0</v>
      </c>
      <c r="AF78" s="11">
        <f t="shared" si="5"/>
        <v>0.25</v>
      </c>
      <c r="AG78">
        <v>0</v>
      </c>
      <c r="AH78">
        <v>0</v>
      </c>
      <c r="AI78" t="s">
        <v>1165</v>
      </c>
      <c r="AJ78" s="5" t="s">
        <v>1164</v>
      </c>
    </row>
    <row r="79" spans="1:38" x14ac:dyDescent="0.25">
      <c r="A79">
        <v>911</v>
      </c>
      <c r="B79" t="s">
        <v>465</v>
      </c>
      <c r="C79" t="s">
        <v>1175</v>
      </c>
      <c r="D79" t="s">
        <v>219</v>
      </c>
      <c r="E79">
        <v>1401</v>
      </c>
      <c r="F79" t="s">
        <v>1038</v>
      </c>
      <c r="G79">
        <v>8</v>
      </c>
      <c r="H79" s="11">
        <v>0</v>
      </c>
      <c r="I79" s="11">
        <v>0</v>
      </c>
      <c r="J79" s="11">
        <v>0</v>
      </c>
      <c r="K79" s="11">
        <v>0</v>
      </c>
      <c r="L79" s="11">
        <v>0</v>
      </c>
      <c r="M79" s="11">
        <v>0</v>
      </c>
      <c r="N79">
        <v>0</v>
      </c>
      <c r="O79">
        <v>0</v>
      </c>
      <c r="P79" s="5">
        <f t="shared" si="3"/>
        <v>0</v>
      </c>
      <c r="Q79" s="11">
        <v>0</v>
      </c>
      <c r="R79" s="11">
        <v>0</v>
      </c>
      <c r="S79" s="11">
        <v>0</v>
      </c>
      <c r="T79" s="11">
        <v>0</v>
      </c>
      <c r="U79" s="11">
        <v>0</v>
      </c>
      <c r="V79" s="11">
        <v>0</v>
      </c>
      <c r="W79" s="11">
        <v>0</v>
      </c>
      <c r="X79" s="5">
        <f t="shared" si="4"/>
        <v>0</v>
      </c>
      <c r="Y79">
        <v>0</v>
      </c>
      <c r="Z79">
        <v>0</v>
      </c>
      <c r="AA79" s="11">
        <v>0</v>
      </c>
      <c r="AB79" s="11">
        <f>4/12</f>
        <v>0.33333333333333331</v>
      </c>
      <c r="AC79" s="11">
        <v>0</v>
      </c>
      <c r="AD79" s="11">
        <v>0</v>
      </c>
      <c r="AE79" s="11">
        <v>0</v>
      </c>
      <c r="AF79" s="11">
        <f t="shared" si="5"/>
        <v>0.33333333333333331</v>
      </c>
      <c r="AG79">
        <v>0</v>
      </c>
      <c r="AH79">
        <v>0</v>
      </c>
      <c r="AI79" s="5" t="s">
        <v>1188</v>
      </c>
    </row>
    <row r="80" spans="1:38" x14ac:dyDescent="0.25">
      <c r="A80">
        <v>1031</v>
      </c>
      <c r="B80" t="s">
        <v>465</v>
      </c>
      <c r="C80" t="s">
        <v>1318</v>
      </c>
      <c r="D80" t="s">
        <v>219</v>
      </c>
      <c r="E80">
        <v>1343</v>
      </c>
      <c r="F80" t="s">
        <v>1321</v>
      </c>
      <c r="G80">
        <v>13</v>
      </c>
      <c r="H80" s="11">
        <v>0</v>
      </c>
      <c r="I80" s="11">
        <v>0</v>
      </c>
      <c r="J80" s="11">
        <v>0</v>
      </c>
      <c r="K80" s="11">
        <v>0</v>
      </c>
      <c r="L80" s="11">
        <v>0</v>
      </c>
      <c r="M80" s="11">
        <v>0</v>
      </c>
      <c r="N80" s="11">
        <v>0</v>
      </c>
      <c r="O80">
        <v>0</v>
      </c>
      <c r="P80" s="5">
        <f t="shared" si="3"/>
        <v>0</v>
      </c>
      <c r="Q80" s="11">
        <v>0</v>
      </c>
      <c r="R80" s="11">
        <v>0</v>
      </c>
      <c r="S80" s="11">
        <v>0</v>
      </c>
      <c r="T80" s="11">
        <v>0</v>
      </c>
      <c r="U80" s="11">
        <v>0</v>
      </c>
      <c r="V80" s="11">
        <v>0</v>
      </c>
      <c r="W80" s="11">
        <v>0</v>
      </c>
      <c r="X80" s="5">
        <f t="shared" si="4"/>
        <v>0</v>
      </c>
      <c r="Y80">
        <v>0</v>
      </c>
      <c r="Z80">
        <v>0</v>
      </c>
      <c r="AA80" s="11">
        <v>0</v>
      </c>
      <c r="AB80" s="11">
        <f>15/12</f>
        <v>1.25</v>
      </c>
      <c r="AC80" s="11">
        <v>0</v>
      </c>
      <c r="AD80" s="11">
        <v>0</v>
      </c>
      <c r="AE80" s="11">
        <v>0</v>
      </c>
      <c r="AF80" s="11">
        <f t="shared" si="5"/>
        <v>1.25</v>
      </c>
      <c r="AG80">
        <v>0</v>
      </c>
      <c r="AH80">
        <v>0</v>
      </c>
      <c r="AI80" s="5" t="s">
        <v>1332</v>
      </c>
    </row>
    <row r="81" spans="1:37" x14ac:dyDescent="0.25">
      <c r="A81">
        <v>1031</v>
      </c>
      <c r="B81" t="s">
        <v>465</v>
      </c>
      <c r="C81" t="s">
        <v>1318</v>
      </c>
      <c r="D81" t="s">
        <v>219</v>
      </c>
      <c r="E81">
        <v>1343</v>
      </c>
      <c r="F81" t="s">
        <v>1321</v>
      </c>
      <c r="G81">
        <v>13</v>
      </c>
      <c r="H81" s="11">
        <v>0</v>
      </c>
      <c r="I81" s="11">
        <v>0</v>
      </c>
      <c r="J81" s="11">
        <v>0</v>
      </c>
      <c r="K81" s="11">
        <v>0</v>
      </c>
      <c r="L81" s="11">
        <v>0</v>
      </c>
      <c r="M81" s="8">
        <f>1/2</f>
        <v>0.5</v>
      </c>
      <c r="N81" s="11">
        <v>0</v>
      </c>
      <c r="O81">
        <v>0</v>
      </c>
      <c r="P81" s="5">
        <f t="shared" si="3"/>
        <v>2.4375</v>
      </c>
      <c r="Q81" s="11">
        <v>0</v>
      </c>
      <c r="R81" s="11">
        <v>0</v>
      </c>
      <c r="S81" s="11">
        <v>0</v>
      </c>
      <c r="T81" s="11">
        <v>0</v>
      </c>
      <c r="U81" s="8">
        <v>1</v>
      </c>
      <c r="V81" s="11">
        <v>0</v>
      </c>
      <c r="W81" s="11">
        <v>0</v>
      </c>
      <c r="X81" s="5">
        <f t="shared" si="4"/>
        <v>2.4375</v>
      </c>
      <c r="Y81">
        <v>0</v>
      </c>
      <c r="Z81">
        <v>0</v>
      </c>
      <c r="AA81" s="11">
        <v>0</v>
      </c>
      <c r="AB81" s="11">
        <v>0</v>
      </c>
      <c r="AC81" s="11">
        <v>0</v>
      </c>
      <c r="AD81" s="11">
        <v>0</v>
      </c>
      <c r="AE81" s="11">
        <v>0</v>
      </c>
      <c r="AF81" s="11">
        <f t="shared" si="5"/>
        <v>0</v>
      </c>
      <c r="AG81">
        <v>0</v>
      </c>
      <c r="AH81">
        <v>0</v>
      </c>
      <c r="AI81" s="5" t="s">
        <v>485</v>
      </c>
    </row>
    <row r="82" spans="1:37" x14ac:dyDescent="0.25">
      <c r="A82">
        <v>1031</v>
      </c>
      <c r="B82" t="s">
        <v>465</v>
      </c>
      <c r="C82" t="s">
        <v>1318</v>
      </c>
      <c r="D82" t="s">
        <v>219</v>
      </c>
      <c r="E82">
        <v>1343</v>
      </c>
      <c r="F82" t="s">
        <v>1321</v>
      </c>
      <c r="G82">
        <v>13</v>
      </c>
      <c r="H82" s="11">
        <v>0</v>
      </c>
      <c r="I82" s="11">
        <v>0</v>
      </c>
      <c r="J82" s="11">
        <v>0</v>
      </c>
      <c r="K82" s="11">
        <v>0</v>
      </c>
      <c r="L82" s="11">
        <v>0</v>
      </c>
      <c r="M82" s="11">
        <v>0</v>
      </c>
      <c r="N82" s="8">
        <v>1</v>
      </c>
      <c r="O82">
        <v>0</v>
      </c>
      <c r="P82" s="5">
        <f t="shared" si="3"/>
        <v>2.4375</v>
      </c>
      <c r="Q82" s="11">
        <v>0</v>
      </c>
      <c r="R82" s="11">
        <v>0</v>
      </c>
      <c r="S82" s="11">
        <v>0</v>
      </c>
      <c r="T82" s="11">
        <v>0</v>
      </c>
      <c r="U82" s="11">
        <v>0</v>
      </c>
      <c r="V82" s="11">
        <v>0</v>
      </c>
      <c r="W82" s="11">
        <v>0</v>
      </c>
      <c r="X82" s="5">
        <f t="shared" si="4"/>
        <v>0</v>
      </c>
      <c r="Y82">
        <v>0</v>
      </c>
      <c r="Z82">
        <v>0</v>
      </c>
      <c r="AA82" s="11">
        <v>0</v>
      </c>
      <c r="AB82" s="11">
        <v>0</v>
      </c>
      <c r="AC82" s="11">
        <v>0</v>
      </c>
      <c r="AD82" s="11">
        <v>0</v>
      </c>
      <c r="AE82" s="11">
        <v>0</v>
      </c>
      <c r="AF82" s="11">
        <f t="shared" si="5"/>
        <v>0</v>
      </c>
      <c r="AG82">
        <v>0</v>
      </c>
      <c r="AH82">
        <v>0</v>
      </c>
      <c r="AI82" s="5" t="s">
        <v>1335</v>
      </c>
      <c r="AJ82" t="s">
        <v>1333</v>
      </c>
    </row>
    <row r="83" spans="1:37" x14ac:dyDescent="0.25">
      <c r="A83">
        <v>1051</v>
      </c>
      <c r="B83" t="s">
        <v>465</v>
      </c>
      <c r="C83" t="s">
        <v>1318</v>
      </c>
      <c r="D83" t="s">
        <v>219</v>
      </c>
      <c r="E83">
        <v>1343</v>
      </c>
      <c r="F83" t="s">
        <v>1321</v>
      </c>
      <c r="G83">
        <v>13</v>
      </c>
      <c r="H83" s="11">
        <v>0</v>
      </c>
      <c r="I83" s="11">
        <v>0</v>
      </c>
      <c r="J83" s="11">
        <v>0</v>
      </c>
      <c r="K83" s="11">
        <v>0</v>
      </c>
      <c r="L83" s="11">
        <v>0</v>
      </c>
      <c r="M83" s="11">
        <v>0</v>
      </c>
      <c r="N83" s="8">
        <v>3</v>
      </c>
      <c r="O83">
        <v>0</v>
      </c>
      <c r="P83" s="5">
        <f t="shared" si="3"/>
        <v>7.3125</v>
      </c>
      <c r="Q83" s="11">
        <v>0</v>
      </c>
      <c r="R83" s="11">
        <v>0</v>
      </c>
      <c r="S83" s="11">
        <v>0</v>
      </c>
      <c r="T83" s="11">
        <v>0</v>
      </c>
      <c r="U83" s="8">
        <v>3</v>
      </c>
      <c r="V83" s="11">
        <v>0</v>
      </c>
      <c r="W83" s="11">
        <v>0</v>
      </c>
      <c r="X83" s="5">
        <f t="shared" si="4"/>
        <v>7.3125</v>
      </c>
      <c r="Y83">
        <v>0</v>
      </c>
      <c r="Z83">
        <v>0</v>
      </c>
      <c r="AA83" s="11">
        <v>0</v>
      </c>
      <c r="AB83" s="11">
        <f>8+7/12</f>
        <v>8.5833333333333339</v>
      </c>
      <c r="AC83" s="11">
        <v>0</v>
      </c>
      <c r="AD83" s="11">
        <v>0</v>
      </c>
      <c r="AE83" s="11">
        <v>0</v>
      </c>
      <c r="AF83" s="11">
        <f t="shared" si="5"/>
        <v>8.5833333333333339</v>
      </c>
      <c r="AG83">
        <v>0</v>
      </c>
      <c r="AH83">
        <v>0</v>
      </c>
      <c r="AI83" s="5" t="s">
        <v>1123</v>
      </c>
    </row>
    <row r="84" spans="1:37" x14ac:dyDescent="0.25">
      <c r="A84">
        <v>1051</v>
      </c>
      <c r="B84" t="s">
        <v>465</v>
      </c>
      <c r="C84" t="s">
        <v>1318</v>
      </c>
      <c r="D84" t="s">
        <v>219</v>
      </c>
      <c r="E84">
        <v>1343</v>
      </c>
      <c r="F84" t="s">
        <v>1321</v>
      </c>
      <c r="G84">
        <v>13</v>
      </c>
      <c r="H84" s="11">
        <v>0</v>
      </c>
      <c r="I84" s="11">
        <v>0</v>
      </c>
      <c r="J84" s="11">
        <v>0</v>
      </c>
      <c r="K84" s="11">
        <v>0</v>
      </c>
      <c r="L84" s="11">
        <v>0</v>
      </c>
      <c r="M84" s="8">
        <f>1/2</f>
        <v>0.5</v>
      </c>
      <c r="N84" s="11">
        <v>0</v>
      </c>
      <c r="O84">
        <v>0</v>
      </c>
      <c r="P84" s="5">
        <f t="shared" si="3"/>
        <v>2.4375</v>
      </c>
      <c r="Q84" s="11">
        <v>0</v>
      </c>
      <c r="R84" s="11">
        <v>0</v>
      </c>
      <c r="S84" s="11">
        <v>0</v>
      </c>
      <c r="T84" s="11">
        <v>0</v>
      </c>
      <c r="U84" s="11">
        <v>0</v>
      </c>
      <c r="V84" s="11">
        <v>0</v>
      </c>
      <c r="W84" s="11">
        <v>0</v>
      </c>
      <c r="X84" s="5">
        <f t="shared" si="4"/>
        <v>0</v>
      </c>
      <c r="Y84">
        <v>0</v>
      </c>
      <c r="Z84">
        <v>0</v>
      </c>
      <c r="AA84" s="11">
        <v>0</v>
      </c>
      <c r="AB84" s="11">
        <v>0</v>
      </c>
      <c r="AC84" s="11">
        <v>0</v>
      </c>
      <c r="AD84" s="11">
        <v>0</v>
      </c>
      <c r="AE84" s="11">
        <v>0</v>
      </c>
      <c r="AF84" s="11">
        <f t="shared" si="5"/>
        <v>0</v>
      </c>
      <c r="AG84">
        <v>0</v>
      </c>
      <c r="AH84">
        <v>0</v>
      </c>
      <c r="AI84" s="5" t="s">
        <v>1123</v>
      </c>
    </row>
    <row r="85" spans="1:37" x14ac:dyDescent="0.25">
      <c r="A85">
        <v>1071</v>
      </c>
      <c r="B85" t="s">
        <v>1377</v>
      </c>
      <c r="C85" t="s">
        <v>1318</v>
      </c>
      <c r="D85" t="s">
        <v>219</v>
      </c>
      <c r="E85">
        <v>1343</v>
      </c>
      <c r="F85" t="s">
        <v>1321</v>
      </c>
      <c r="G85">
        <v>13</v>
      </c>
      <c r="H85" s="11">
        <v>0</v>
      </c>
      <c r="I85" s="11">
        <v>0</v>
      </c>
      <c r="J85" s="11">
        <v>0</v>
      </c>
      <c r="K85" s="11">
        <v>0</v>
      </c>
      <c r="L85" s="11">
        <v>0</v>
      </c>
      <c r="M85" s="8">
        <v>6</v>
      </c>
      <c r="N85" s="11">
        <v>0</v>
      </c>
      <c r="O85">
        <v>0</v>
      </c>
      <c r="P85" s="5">
        <f t="shared" si="3"/>
        <v>29.25</v>
      </c>
      <c r="Q85" s="11">
        <v>0</v>
      </c>
      <c r="R85" s="11">
        <v>0</v>
      </c>
      <c r="S85" s="11">
        <v>0</v>
      </c>
      <c r="T85" s="8">
        <v>3</v>
      </c>
      <c r="U85" s="11">
        <v>0</v>
      </c>
      <c r="V85" s="11">
        <v>0</v>
      </c>
      <c r="W85" s="11">
        <v>0</v>
      </c>
      <c r="X85" s="5">
        <f t="shared" si="4"/>
        <v>14.625</v>
      </c>
      <c r="Y85">
        <v>0</v>
      </c>
      <c r="Z85">
        <v>0</v>
      </c>
      <c r="AA85" s="11">
        <v>0</v>
      </c>
      <c r="AB85" s="11">
        <v>0</v>
      </c>
      <c r="AC85" s="11">
        <v>0</v>
      </c>
      <c r="AD85" s="11">
        <v>0</v>
      </c>
      <c r="AE85" s="11">
        <v>0</v>
      </c>
      <c r="AF85" s="11">
        <f t="shared" si="5"/>
        <v>0</v>
      </c>
      <c r="AG85">
        <v>0</v>
      </c>
      <c r="AH85">
        <v>0</v>
      </c>
      <c r="AI85" s="5" t="s">
        <v>1123</v>
      </c>
    </row>
    <row r="86" spans="1:37" x14ac:dyDescent="0.25">
      <c r="A86">
        <v>1071</v>
      </c>
      <c r="B86" t="s">
        <v>1377</v>
      </c>
      <c r="C86" t="s">
        <v>1318</v>
      </c>
      <c r="D86" t="s">
        <v>219</v>
      </c>
      <c r="E86">
        <v>1343</v>
      </c>
      <c r="F86" t="s">
        <v>1321</v>
      </c>
      <c r="G86">
        <v>13</v>
      </c>
      <c r="H86" s="11">
        <v>0</v>
      </c>
      <c r="I86" s="11">
        <v>0</v>
      </c>
      <c r="J86" s="11">
        <v>0</v>
      </c>
      <c r="K86" s="11">
        <v>0</v>
      </c>
      <c r="L86" s="11">
        <v>0</v>
      </c>
      <c r="M86" s="11">
        <v>0</v>
      </c>
      <c r="N86" s="11">
        <v>0</v>
      </c>
      <c r="O86">
        <v>0</v>
      </c>
      <c r="P86" s="5">
        <f t="shared" si="3"/>
        <v>0</v>
      </c>
      <c r="Q86" s="11">
        <v>0</v>
      </c>
      <c r="R86" s="11">
        <v>0</v>
      </c>
      <c r="S86" s="11">
        <v>0</v>
      </c>
      <c r="T86" s="11">
        <v>0</v>
      </c>
      <c r="U86" s="11">
        <v>0</v>
      </c>
      <c r="V86" s="11">
        <v>0</v>
      </c>
      <c r="W86" s="11">
        <v>0</v>
      </c>
      <c r="X86" s="5">
        <f t="shared" si="4"/>
        <v>0</v>
      </c>
      <c r="Y86">
        <v>0</v>
      </c>
      <c r="Z86">
        <v>0</v>
      </c>
      <c r="AA86" s="11">
        <v>0</v>
      </c>
      <c r="AB86" s="11">
        <f>17+6/12</f>
        <v>17.5</v>
      </c>
      <c r="AC86" s="11">
        <v>0</v>
      </c>
      <c r="AD86" s="11">
        <v>0</v>
      </c>
      <c r="AE86" s="11">
        <v>0</v>
      </c>
      <c r="AF86" s="11">
        <f t="shared" si="5"/>
        <v>17.5</v>
      </c>
      <c r="AG86">
        <v>0</v>
      </c>
      <c r="AH86">
        <v>0</v>
      </c>
      <c r="AI86" s="5" t="s">
        <v>1332</v>
      </c>
    </row>
    <row r="87" spans="1:37" x14ac:dyDescent="0.25">
      <c r="A87">
        <v>1071</v>
      </c>
      <c r="B87" t="s">
        <v>1377</v>
      </c>
      <c r="C87" t="s">
        <v>1318</v>
      </c>
      <c r="D87" t="s">
        <v>219</v>
      </c>
      <c r="E87">
        <v>1343</v>
      </c>
      <c r="F87" t="s">
        <v>1321</v>
      </c>
      <c r="G87">
        <v>13</v>
      </c>
      <c r="H87" s="11">
        <v>0</v>
      </c>
      <c r="I87" s="11">
        <v>0</v>
      </c>
      <c r="J87" s="11">
        <v>0</v>
      </c>
      <c r="K87" s="11">
        <v>0</v>
      </c>
      <c r="L87" s="11">
        <v>0</v>
      </c>
      <c r="M87" s="8">
        <f>1/2</f>
        <v>0.5</v>
      </c>
      <c r="N87" s="11">
        <v>0</v>
      </c>
      <c r="O87">
        <v>0</v>
      </c>
      <c r="P87" s="5">
        <f t="shared" si="3"/>
        <v>2.4375</v>
      </c>
      <c r="Q87" s="11">
        <v>0</v>
      </c>
      <c r="R87" s="11">
        <v>0</v>
      </c>
      <c r="S87" s="11">
        <v>0</v>
      </c>
      <c r="T87" s="8">
        <f>1/2</f>
        <v>0.5</v>
      </c>
      <c r="U87" s="11">
        <v>0</v>
      </c>
      <c r="V87" s="11">
        <v>0</v>
      </c>
      <c r="W87" s="11">
        <v>0</v>
      </c>
      <c r="X87" s="5">
        <f t="shared" si="4"/>
        <v>2.4375</v>
      </c>
      <c r="Y87">
        <v>0</v>
      </c>
      <c r="Z87">
        <v>0</v>
      </c>
      <c r="AA87" s="11">
        <v>0</v>
      </c>
      <c r="AB87" s="11">
        <v>0</v>
      </c>
      <c r="AC87" s="11">
        <v>0</v>
      </c>
      <c r="AD87" s="11">
        <v>0</v>
      </c>
      <c r="AE87" s="11">
        <v>0</v>
      </c>
      <c r="AF87" s="11">
        <f t="shared" si="5"/>
        <v>0</v>
      </c>
      <c r="AG87">
        <v>0</v>
      </c>
      <c r="AH87">
        <v>0</v>
      </c>
      <c r="AI87" s="5" t="s">
        <v>485</v>
      </c>
      <c r="AK87" t="s">
        <v>1381</v>
      </c>
    </row>
    <row r="88" spans="1:37" x14ac:dyDescent="0.25">
      <c r="A88">
        <v>1071</v>
      </c>
      <c r="B88" t="s">
        <v>1377</v>
      </c>
      <c r="C88" t="s">
        <v>1318</v>
      </c>
      <c r="D88" t="s">
        <v>219</v>
      </c>
      <c r="E88">
        <v>1343</v>
      </c>
      <c r="F88" t="s">
        <v>1321</v>
      </c>
      <c r="G88">
        <v>13</v>
      </c>
      <c r="H88" s="11">
        <v>0</v>
      </c>
      <c r="I88" s="11">
        <v>0</v>
      </c>
      <c r="J88" s="11">
        <v>0</v>
      </c>
      <c r="K88" s="11">
        <v>0</v>
      </c>
      <c r="L88" s="11">
        <v>0</v>
      </c>
      <c r="M88" s="11">
        <v>0</v>
      </c>
      <c r="N88" s="11">
        <v>0</v>
      </c>
      <c r="O88">
        <v>0</v>
      </c>
      <c r="P88" s="5">
        <f t="shared" si="3"/>
        <v>0</v>
      </c>
      <c r="Q88" s="11">
        <v>0</v>
      </c>
      <c r="R88" s="11">
        <v>0</v>
      </c>
      <c r="S88" s="11">
        <v>0</v>
      </c>
      <c r="T88" s="11">
        <v>0</v>
      </c>
      <c r="U88" s="11">
        <v>0</v>
      </c>
      <c r="V88" s="11">
        <v>0</v>
      </c>
      <c r="W88" s="11">
        <v>0</v>
      </c>
      <c r="X88" s="5">
        <f t="shared" si="4"/>
        <v>0</v>
      </c>
      <c r="Y88">
        <v>0</v>
      </c>
      <c r="Z88">
        <v>0</v>
      </c>
      <c r="AA88" s="11">
        <v>0</v>
      </c>
      <c r="AB88" s="11">
        <f>15/12</f>
        <v>1.25</v>
      </c>
      <c r="AC88" s="11">
        <v>0</v>
      </c>
      <c r="AD88" s="11">
        <v>0</v>
      </c>
      <c r="AE88" s="11">
        <v>0</v>
      </c>
      <c r="AF88" s="11">
        <f t="shared" si="5"/>
        <v>1.25</v>
      </c>
      <c r="AG88">
        <v>0</v>
      </c>
      <c r="AH88">
        <v>0</v>
      </c>
      <c r="AI88" s="5" t="s">
        <v>1382</v>
      </c>
      <c r="AJ88" t="s">
        <v>1384</v>
      </c>
    </row>
    <row r="89" spans="1:37" x14ac:dyDescent="0.25">
      <c r="A89">
        <v>1071</v>
      </c>
      <c r="B89" t="s">
        <v>1377</v>
      </c>
      <c r="C89" t="s">
        <v>1318</v>
      </c>
      <c r="D89" t="s">
        <v>219</v>
      </c>
      <c r="E89">
        <v>1343</v>
      </c>
      <c r="F89" t="s">
        <v>1321</v>
      </c>
      <c r="G89">
        <v>13</v>
      </c>
      <c r="H89" s="11">
        <v>0</v>
      </c>
      <c r="I89" s="11">
        <v>0</v>
      </c>
      <c r="J89" s="11">
        <v>0</v>
      </c>
      <c r="K89" s="11">
        <v>0</v>
      </c>
      <c r="L89" s="11">
        <v>0</v>
      </c>
      <c r="M89" s="11">
        <v>0</v>
      </c>
      <c r="N89" s="8">
        <v>1</v>
      </c>
      <c r="O89">
        <v>0</v>
      </c>
      <c r="P89" s="5">
        <f t="shared" si="3"/>
        <v>2.4375</v>
      </c>
      <c r="Q89" s="11">
        <v>0</v>
      </c>
      <c r="R89" s="11">
        <v>0</v>
      </c>
      <c r="S89" s="11">
        <v>0</v>
      </c>
      <c r="T89" s="11">
        <v>0</v>
      </c>
      <c r="U89" s="11">
        <v>0</v>
      </c>
      <c r="V89" s="11">
        <v>0</v>
      </c>
      <c r="W89" s="11">
        <v>0</v>
      </c>
      <c r="X89" s="5">
        <f t="shared" si="4"/>
        <v>0</v>
      </c>
      <c r="Y89">
        <v>0</v>
      </c>
      <c r="Z89">
        <v>0</v>
      </c>
      <c r="AA89" s="11">
        <v>0</v>
      </c>
      <c r="AB89" s="11">
        <v>0</v>
      </c>
      <c r="AC89" s="11">
        <v>0</v>
      </c>
      <c r="AD89" s="11">
        <v>0</v>
      </c>
      <c r="AE89" s="11">
        <v>0</v>
      </c>
      <c r="AF89" s="11">
        <f t="shared" si="5"/>
        <v>0</v>
      </c>
      <c r="AG89">
        <v>0</v>
      </c>
      <c r="AH89">
        <v>0</v>
      </c>
      <c r="AI89" s="5" t="s">
        <v>485</v>
      </c>
      <c r="AJ89" t="s">
        <v>1385</v>
      </c>
    </row>
    <row r="90" spans="1:37" x14ac:dyDescent="0.25">
      <c r="A90">
        <v>1081</v>
      </c>
      <c r="B90" t="s">
        <v>465</v>
      </c>
      <c r="C90" t="s">
        <v>1318</v>
      </c>
      <c r="D90" t="s">
        <v>219</v>
      </c>
      <c r="E90">
        <v>1343</v>
      </c>
      <c r="F90" t="s">
        <v>383</v>
      </c>
      <c r="G90">
        <v>13</v>
      </c>
      <c r="H90" s="11">
        <v>0</v>
      </c>
      <c r="I90" s="11">
        <v>0</v>
      </c>
      <c r="J90" s="11">
        <v>0</v>
      </c>
      <c r="K90" s="11">
        <v>0</v>
      </c>
      <c r="L90" s="11">
        <v>0</v>
      </c>
      <c r="M90" s="11">
        <v>3</v>
      </c>
      <c r="N90" s="11">
        <f>1+1/3</f>
        <v>1.3333333333333333</v>
      </c>
      <c r="O90">
        <v>0</v>
      </c>
      <c r="P90" s="5">
        <f t="shared" si="3"/>
        <v>17.875</v>
      </c>
      <c r="Q90" s="11">
        <v>0</v>
      </c>
      <c r="R90" s="11">
        <v>0</v>
      </c>
      <c r="S90" s="11">
        <v>0</v>
      </c>
      <c r="T90" s="11">
        <v>1</v>
      </c>
      <c r="U90" s="11">
        <f>1+1/3</f>
        <v>1.3333333333333333</v>
      </c>
      <c r="V90" s="11">
        <v>0</v>
      </c>
      <c r="W90" s="11">
        <v>0</v>
      </c>
      <c r="X90" s="5">
        <f t="shared" si="4"/>
        <v>8.125</v>
      </c>
      <c r="Y90">
        <v>0</v>
      </c>
      <c r="Z90">
        <v>0</v>
      </c>
      <c r="AA90" s="11">
        <v>0</v>
      </c>
      <c r="AB90" s="11">
        <v>0</v>
      </c>
      <c r="AC90" s="11">
        <v>0</v>
      </c>
      <c r="AD90" s="11">
        <v>0</v>
      </c>
      <c r="AE90" s="11">
        <v>0</v>
      </c>
      <c r="AF90" s="11">
        <f t="shared" si="5"/>
        <v>0</v>
      </c>
      <c r="AG90">
        <v>0</v>
      </c>
      <c r="AH90">
        <v>0</v>
      </c>
      <c r="AI90" s="5" t="s">
        <v>1123</v>
      </c>
    </row>
    <row r="91" spans="1:37" x14ac:dyDescent="0.25">
      <c r="A91">
        <v>1081</v>
      </c>
      <c r="B91" t="s">
        <v>465</v>
      </c>
      <c r="C91" t="s">
        <v>1318</v>
      </c>
      <c r="D91" t="s">
        <v>219</v>
      </c>
      <c r="E91">
        <v>1343</v>
      </c>
      <c r="F91" t="s">
        <v>383</v>
      </c>
      <c r="G91">
        <v>13</v>
      </c>
      <c r="H91" s="11">
        <v>0</v>
      </c>
      <c r="I91" s="11">
        <v>0</v>
      </c>
      <c r="J91" s="11">
        <v>0</v>
      </c>
      <c r="K91" s="11">
        <v>0</v>
      </c>
      <c r="L91" s="11">
        <v>0</v>
      </c>
      <c r="M91" s="11">
        <v>0</v>
      </c>
      <c r="N91" s="11">
        <v>0</v>
      </c>
      <c r="O91">
        <v>0</v>
      </c>
      <c r="P91" s="5">
        <f t="shared" si="3"/>
        <v>0</v>
      </c>
      <c r="Q91" s="11">
        <v>0</v>
      </c>
      <c r="R91" s="11">
        <v>0</v>
      </c>
      <c r="S91" s="11">
        <v>0</v>
      </c>
      <c r="T91" s="11">
        <v>0</v>
      </c>
      <c r="U91" s="11">
        <v>0</v>
      </c>
      <c r="V91" s="11">
        <v>0</v>
      </c>
      <c r="W91" s="11">
        <v>0</v>
      </c>
      <c r="X91" s="5">
        <f t="shared" si="4"/>
        <v>0</v>
      </c>
      <c r="Y91">
        <v>0</v>
      </c>
      <c r="Z91">
        <v>0</v>
      </c>
      <c r="AA91" s="11">
        <v>0</v>
      </c>
      <c r="AB91" s="11">
        <f>9+8/12</f>
        <v>9.6666666666666661</v>
      </c>
      <c r="AC91" s="11">
        <v>0</v>
      </c>
      <c r="AD91" s="11">
        <f>1+1/3</f>
        <v>1.3333333333333333</v>
      </c>
      <c r="AE91" s="11">
        <v>0</v>
      </c>
      <c r="AF91" s="11">
        <f t="shared" si="5"/>
        <v>9.7222222222222214</v>
      </c>
      <c r="AG91">
        <v>0</v>
      </c>
      <c r="AH91">
        <v>0</v>
      </c>
      <c r="AI91" s="5" t="s">
        <v>1332</v>
      </c>
    </row>
    <row r="92" spans="1:37" x14ac:dyDescent="0.25">
      <c r="A92">
        <v>1091</v>
      </c>
      <c r="B92" t="s">
        <v>13</v>
      </c>
      <c r="C92" t="s">
        <v>1318</v>
      </c>
      <c r="D92" t="s">
        <v>219</v>
      </c>
      <c r="E92">
        <v>1343</v>
      </c>
      <c r="F92" t="s">
        <v>383</v>
      </c>
      <c r="G92">
        <v>13</v>
      </c>
      <c r="H92" s="11">
        <v>0</v>
      </c>
      <c r="I92" s="11">
        <v>0</v>
      </c>
      <c r="J92" s="11">
        <v>0</v>
      </c>
      <c r="K92" s="11">
        <v>0</v>
      </c>
      <c r="L92" s="11">
        <v>0</v>
      </c>
      <c r="M92" s="11">
        <v>0</v>
      </c>
      <c r="N92" s="11">
        <v>0</v>
      </c>
      <c r="O92">
        <v>0</v>
      </c>
      <c r="P92" s="5">
        <f t="shared" si="3"/>
        <v>0</v>
      </c>
      <c r="Q92" s="11">
        <v>0</v>
      </c>
      <c r="R92" s="11">
        <v>0</v>
      </c>
      <c r="S92" s="11">
        <v>0</v>
      </c>
      <c r="T92" s="11">
        <v>0</v>
      </c>
      <c r="U92" s="11">
        <v>0</v>
      </c>
      <c r="V92" s="11">
        <v>0</v>
      </c>
      <c r="W92" s="11">
        <v>0</v>
      </c>
      <c r="X92" s="5">
        <f t="shared" si="4"/>
        <v>0</v>
      </c>
      <c r="Y92">
        <v>0</v>
      </c>
      <c r="Z92">
        <v>0</v>
      </c>
      <c r="AA92" s="11">
        <v>0</v>
      </c>
      <c r="AB92" s="11">
        <f>9+8/12</f>
        <v>9.6666666666666661</v>
      </c>
      <c r="AC92" s="11">
        <v>0</v>
      </c>
      <c r="AD92" s="11">
        <f>1+1/3</f>
        <v>1.3333333333333333</v>
      </c>
      <c r="AE92" s="11">
        <v>0</v>
      </c>
      <c r="AF92" s="11">
        <f t="shared" si="5"/>
        <v>9.7222222222222214</v>
      </c>
      <c r="AG92">
        <v>0</v>
      </c>
      <c r="AH92">
        <v>0</v>
      </c>
      <c r="AI92" s="5" t="s">
        <v>307</v>
      </c>
    </row>
    <row r="93" spans="1:37" x14ac:dyDescent="0.25">
      <c r="A93">
        <v>1101</v>
      </c>
      <c r="B93" t="s">
        <v>19</v>
      </c>
      <c r="C93" t="s">
        <v>1318</v>
      </c>
      <c r="D93" t="s">
        <v>219</v>
      </c>
      <c r="E93">
        <v>1343</v>
      </c>
      <c r="F93" t="s">
        <v>383</v>
      </c>
      <c r="G93">
        <v>13</v>
      </c>
      <c r="H93" s="11">
        <v>0</v>
      </c>
      <c r="I93" s="11">
        <v>0</v>
      </c>
      <c r="J93" s="11">
        <v>0</v>
      </c>
      <c r="K93" s="11">
        <v>0</v>
      </c>
      <c r="L93" s="11">
        <v>0</v>
      </c>
      <c r="M93" s="11">
        <v>0</v>
      </c>
      <c r="N93" s="11">
        <v>0</v>
      </c>
      <c r="O93">
        <v>0</v>
      </c>
      <c r="P93" s="5">
        <f t="shared" si="3"/>
        <v>0</v>
      </c>
      <c r="Q93" s="11">
        <v>0</v>
      </c>
      <c r="R93" s="11">
        <v>0</v>
      </c>
      <c r="S93" s="11">
        <v>0</v>
      </c>
      <c r="T93" s="11">
        <v>0</v>
      </c>
      <c r="U93" s="11">
        <v>0</v>
      </c>
      <c r="V93" s="11">
        <v>0</v>
      </c>
      <c r="W93" s="11">
        <v>0</v>
      </c>
      <c r="X93" s="5">
        <f t="shared" si="4"/>
        <v>0</v>
      </c>
      <c r="Y93">
        <v>0</v>
      </c>
      <c r="Z93">
        <v>0</v>
      </c>
      <c r="AA93" s="11">
        <v>0</v>
      </c>
      <c r="AB93" s="11">
        <f>6/12</f>
        <v>0.5</v>
      </c>
      <c r="AC93" s="11">
        <v>0</v>
      </c>
      <c r="AD93" s="11">
        <v>0</v>
      </c>
      <c r="AE93" s="11">
        <v>0</v>
      </c>
      <c r="AF93" s="11">
        <f t="shared" si="5"/>
        <v>0.5</v>
      </c>
      <c r="AG93">
        <v>0</v>
      </c>
      <c r="AH93">
        <v>0</v>
      </c>
      <c r="AI93" s="5" t="s">
        <v>1400</v>
      </c>
      <c r="AJ93" s="5" t="s">
        <v>1383</v>
      </c>
    </row>
    <row r="94" spans="1:37" x14ac:dyDescent="0.25">
      <c r="A94">
        <v>1102</v>
      </c>
      <c r="B94" t="s">
        <v>11</v>
      </c>
      <c r="C94" t="s">
        <v>1455</v>
      </c>
      <c r="D94" t="s">
        <v>219</v>
      </c>
      <c r="E94">
        <v>1380</v>
      </c>
      <c r="F94" t="s">
        <v>1082</v>
      </c>
      <c r="G94">
        <v>8</v>
      </c>
      <c r="H94" s="11">
        <v>0</v>
      </c>
      <c r="I94" s="11">
        <v>0</v>
      </c>
      <c r="J94" s="11">
        <v>0</v>
      </c>
      <c r="K94" s="11">
        <v>0</v>
      </c>
      <c r="L94" s="11">
        <v>0</v>
      </c>
      <c r="M94" s="11">
        <v>0</v>
      </c>
      <c r="N94" s="11">
        <v>0</v>
      </c>
      <c r="O94">
        <v>0</v>
      </c>
      <c r="P94" s="5">
        <f t="shared" si="3"/>
        <v>0</v>
      </c>
      <c r="Q94" s="11">
        <v>0</v>
      </c>
      <c r="R94" s="11">
        <v>0</v>
      </c>
      <c r="S94" s="11">
        <v>0</v>
      </c>
      <c r="T94" s="11">
        <v>0</v>
      </c>
      <c r="U94" s="11">
        <v>0</v>
      </c>
      <c r="V94" s="11">
        <v>0</v>
      </c>
      <c r="W94" s="11">
        <v>0</v>
      </c>
      <c r="X94" s="5">
        <f t="shared" si="4"/>
        <v>0</v>
      </c>
      <c r="Y94">
        <v>0</v>
      </c>
      <c r="Z94">
        <v>0</v>
      </c>
      <c r="AA94" s="11">
        <v>0</v>
      </c>
      <c r="AB94">
        <f>2/12</f>
        <v>0.16666666666666666</v>
      </c>
      <c r="AC94">
        <v>0</v>
      </c>
      <c r="AD94">
        <v>1</v>
      </c>
      <c r="AE94" s="11">
        <v>0</v>
      </c>
      <c r="AF94" s="11">
        <f t="shared" si="5"/>
        <v>0.20833333333333331</v>
      </c>
      <c r="AG94">
        <v>0</v>
      </c>
      <c r="AH94">
        <v>0</v>
      </c>
      <c r="AI94" t="s">
        <v>663</v>
      </c>
      <c r="AK94" t="s">
        <v>1458</v>
      </c>
    </row>
    <row r="95" spans="1:37" x14ac:dyDescent="0.25">
      <c r="A95">
        <v>1123</v>
      </c>
      <c r="B95" t="s">
        <v>1439</v>
      </c>
      <c r="C95" t="s">
        <v>1406</v>
      </c>
      <c r="D95" t="s">
        <v>219</v>
      </c>
      <c r="E95">
        <v>1343</v>
      </c>
      <c r="F95" t="s">
        <v>973</v>
      </c>
      <c r="G95">
        <v>29</v>
      </c>
      <c r="H95" s="11">
        <v>0</v>
      </c>
      <c r="I95" s="11">
        <v>0</v>
      </c>
      <c r="J95" s="11">
        <v>0</v>
      </c>
      <c r="K95" s="11">
        <v>0</v>
      </c>
      <c r="L95" s="11">
        <v>0</v>
      </c>
      <c r="M95" s="11">
        <v>0</v>
      </c>
      <c r="N95" s="11">
        <v>0</v>
      </c>
      <c r="O95">
        <v>0</v>
      </c>
      <c r="P95" s="5">
        <f t="shared" si="3"/>
        <v>0</v>
      </c>
      <c r="Q95" s="11">
        <v>0</v>
      </c>
      <c r="R95" s="11">
        <v>0</v>
      </c>
      <c r="S95" s="11">
        <v>0</v>
      </c>
      <c r="T95" s="11">
        <v>0</v>
      </c>
      <c r="U95" s="11">
        <v>0</v>
      </c>
      <c r="V95" s="11">
        <v>0</v>
      </c>
      <c r="W95" s="11">
        <v>0</v>
      </c>
      <c r="X95" s="5">
        <f t="shared" si="4"/>
        <v>0</v>
      </c>
      <c r="Y95">
        <v>0</v>
      </c>
      <c r="Z95">
        <v>0</v>
      </c>
      <c r="AA95" s="11">
        <v>0</v>
      </c>
      <c r="AB95">
        <f>6/12</f>
        <v>0.5</v>
      </c>
      <c r="AC95" s="11">
        <v>0</v>
      </c>
      <c r="AD95" s="11">
        <v>0</v>
      </c>
      <c r="AE95" s="11">
        <v>0</v>
      </c>
      <c r="AF95" s="11">
        <f t="shared" si="5"/>
        <v>0.5</v>
      </c>
      <c r="AG95">
        <v>0</v>
      </c>
      <c r="AH95">
        <v>0</v>
      </c>
      <c r="AI95" s="5" t="s">
        <v>306</v>
      </c>
    </row>
    <row r="96" spans="1:37" x14ac:dyDescent="0.25">
      <c r="A96">
        <v>1124</v>
      </c>
      <c r="B96" t="s">
        <v>11</v>
      </c>
      <c r="C96" t="s">
        <v>1406</v>
      </c>
      <c r="D96" t="s">
        <v>219</v>
      </c>
      <c r="E96">
        <v>1343</v>
      </c>
      <c r="F96" t="s">
        <v>973</v>
      </c>
      <c r="G96">
        <v>29</v>
      </c>
      <c r="H96" s="11">
        <v>0</v>
      </c>
      <c r="I96" s="11">
        <v>0</v>
      </c>
      <c r="J96" s="11">
        <v>0</v>
      </c>
      <c r="K96" s="11">
        <v>0</v>
      </c>
      <c r="L96" s="11">
        <v>0</v>
      </c>
      <c r="M96">
        <f>1/2</f>
        <v>0.5</v>
      </c>
      <c r="N96" s="11">
        <v>0</v>
      </c>
      <c r="O96">
        <v>0</v>
      </c>
      <c r="P96" s="5">
        <f t="shared" si="3"/>
        <v>2.4375</v>
      </c>
      <c r="Q96" s="11">
        <v>0</v>
      </c>
      <c r="R96" s="11">
        <v>0</v>
      </c>
      <c r="S96" s="11">
        <v>0</v>
      </c>
      <c r="T96">
        <f>1/2</f>
        <v>0.5</v>
      </c>
      <c r="U96" s="11">
        <v>0</v>
      </c>
      <c r="V96" s="11">
        <v>0</v>
      </c>
      <c r="W96" s="11">
        <v>0</v>
      </c>
      <c r="X96" s="5">
        <f t="shared" si="4"/>
        <v>2.4375</v>
      </c>
      <c r="Y96">
        <v>0</v>
      </c>
      <c r="Z96">
        <v>0</v>
      </c>
      <c r="AA96" s="11">
        <v>0</v>
      </c>
      <c r="AB96">
        <f>3/12</f>
        <v>0.25</v>
      </c>
      <c r="AC96" s="11">
        <v>0</v>
      </c>
      <c r="AD96" s="11">
        <v>0</v>
      </c>
      <c r="AE96">
        <f>1+1/2</f>
        <v>1.5</v>
      </c>
      <c r="AF96" s="11">
        <f t="shared" si="5"/>
        <v>0.28125</v>
      </c>
      <c r="AG96">
        <v>0</v>
      </c>
      <c r="AH96">
        <v>0</v>
      </c>
      <c r="AI96" s="5" t="s">
        <v>1443</v>
      </c>
    </row>
    <row r="97" spans="1:37" x14ac:dyDescent="0.25">
      <c r="A97">
        <v>1133</v>
      </c>
      <c r="B97" t="s">
        <v>1450</v>
      </c>
      <c r="C97" t="s">
        <v>1406</v>
      </c>
      <c r="D97" t="s">
        <v>220</v>
      </c>
      <c r="E97">
        <v>1343</v>
      </c>
      <c r="F97" t="s">
        <v>973</v>
      </c>
      <c r="G97">
        <v>29</v>
      </c>
      <c r="H97" s="11">
        <v>0</v>
      </c>
      <c r="I97" s="11">
        <v>0</v>
      </c>
      <c r="J97" s="11">
        <v>0</v>
      </c>
      <c r="K97" s="11">
        <v>0</v>
      </c>
      <c r="L97" s="11">
        <v>0</v>
      </c>
      <c r="M97" s="11">
        <v>1</v>
      </c>
      <c r="N97" s="11">
        <v>0</v>
      </c>
      <c r="O97">
        <v>0</v>
      </c>
      <c r="P97" s="5">
        <f t="shared" si="3"/>
        <v>4.875</v>
      </c>
      <c r="Q97" s="11">
        <v>0</v>
      </c>
      <c r="R97" s="11">
        <v>0</v>
      </c>
      <c r="S97" s="11">
        <v>0</v>
      </c>
      <c r="T97" s="11">
        <v>1</v>
      </c>
      <c r="U97" s="11">
        <v>0</v>
      </c>
      <c r="V97" s="11">
        <v>0</v>
      </c>
      <c r="W97" s="11">
        <v>0</v>
      </c>
      <c r="X97" s="5">
        <f t="shared" si="4"/>
        <v>4.875</v>
      </c>
      <c r="Y97">
        <v>0</v>
      </c>
      <c r="Z97">
        <v>0</v>
      </c>
      <c r="AA97" s="11">
        <v>0</v>
      </c>
      <c r="AB97">
        <f>2/12</f>
        <v>0.16666666666666666</v>
      </c>
      <c r="AC97" s="11">
        <v>0</v>
      </c>
      <c r="AD97" s="11">
        <v>1</v>
      </c>
      <c r="AE97" s="11">
        <v>1</v>
      </c>
      <c r="AF97" s="11">
        <f t="shared" si="5"/>
        <v>0.22916666666666666</v>
      </c>
      <c r="AG97">
        <v>0</v>
      </c>
      <c r="AH97">
        <v>0</v>
      </c>
      <c r="AI97" t="s">
        <v>1452</v>
      </c>
    </row>
    <row r="98" spans="1:37" x14ac:dyDescent="0.25">
      <c r="A98">
        <v>1141</v>
      </c>
      <c r="B98" t="s">
        <v>138</v>
      </c>
      <c r="C98" t="s">
        <v>1462</v>
      </c>
      <c r="D98" t="s">
        <v>219</v>
      </c>
      <c r="E98">
        <v>1343</v>
      </c>
      <c r="F98" t="s">
        <v>1038</v>
      </c>
      <c r="G98">
        <v>13</v>
      </c>
      <c r="H98" s="11">
        <v>0</v>
      </c>
      <c r="I98" s="11">
        <v>0</v>
      </c>
      <c r="J98" s="11">
        <v>0</v>
      </c>
      <c r="K98" s="11">
        <v>0</v>
      </c>
      <c r="L98" s="11">
        <v>0</v>
      </c>
      <c r="M98" s="11">
        <v>0</v>
      </c>
      <c r="N98" s="11">
        <v>0</v>
      </c>
      <c r="O98">
        <v>0</v>
      </c>
      <c r="P98" s="5">
        <f t="shared" si="3"/>
        <v>0</v>
      </c>
      <c r="Q98" s="11">
        <v>0</v>
      </c>
      <c r="R98" s="11">
        <v>0</v>
      </c>
      <c r="S98" s="11">
        <v>0</v>
      </c>
      <c r="T98" s="11">
        <v>0</v>
      </c>
      <c r="U98" s="11">
        <v>0</v>
      </c>
      <c r="V98" s="11">
        <v>0</v>
      </c>
      <c r="W98" s="11">
        <v>0</v>
      </c>
      <c r="X98" s="5">
        <f t="shared" si="4"/>
        <v>0</v>
      </c>
      <c r="Y98">
        <v>0</v>
      </c>
      <c r="Z98">
        <v>0</v>
      </c>
      <c r="AA98" s="11">
        <v>0</v>
      </c>
      <c r="AB98">
        <f>8/12</f>
        <v>0.66666666666666663</v>
      </c>
      <c r="AC98">
        <v>0</v>
      </c>
      <c r="AD98">
        <v>0</v>
      </c>
      <c r="AE98" s="11">
        <v>0</v>
      </c>
      <c r="AF98" s="11">
        <f t="shared" si="5"/>
        <v>0.66666666666666663</v>
      </c>
      <c r="AG98">
        <v>0</v>
      </c>
      <c r="AH98">
        <v>0</v>
      </c>
      <c r="AI98" s="5" t="s">
        <v>398</v>
      </c>
      <c r="AK98" t="s">
        <v>1039</v>
      </c>
    </row>
    <row r="99" spans="1:37" x14ac:dyDescent="0.25">
      <c r="A99">
        <v>1171</v>
      </c>
      <c r="B99" t="s">
        <v>465</v>
      </c>
      <c r="C99" t="s">
        <v>1565</v>
      </c>
      <c r="D99" t="s">
        <v>219</v>
      </c>
      <c r="E99">
        <v>1343</v>
      </c>
      <c r="F99" t="s">
        <v>1097</v>
      </c>
      <c r="G99">
        <v>13</v>
      </c>
      <c r="H99" s="11">
        <v>0</v>
      </c>
      <c r="I99" s="11">
        <v>0</v>
      </c>
      <c r="J99" s="11">
        <v>0</v>
      </c>
      <c r="K99" s="11">
        <v>0</v>
      </c>
      <c r="L99" s="11">
        <v>0</v>
      </c>
      <c r="M99" s="11">
        <v>0</v>
      </c>
      <c r="N99" s="11">
        <v>0</v>
      </c>
      <c r="O99">
        <v>0</v>
      </c>
      <c r="P99" s="5">
        <f t="shared" si="3"/>
        <v>0</v>
      </c>
      <c r="Q99" s="11">
        <v>0</v>
      </c>
      <c r="R99" s="11">
        <v>0</v>
      </c>
      <c r="S99" s="11">
        <v>0</v>
      </c>
      <c r="T99" s="11">
        <v>0</v>
      </c>
      <c r="U99" s="11">
        <v>0</v>
      </c>
      <c r="V99" s="11">
        <v>0</v>
      </c>
      <c r="W99" s="11">
        <v>0</v>
      </c>
      <c r="X99" s="5">
        <f t="shared" si="4"/>
        <v>0</v>
      </c>
      <c r="Y99">
        <v>0</v>
      </c>
      <c r="Z99">
        <v>0</v>
      </c>
      <c r="AA99" s="11">
        <v>0</v>
      </c>
      <c r="AB99">
        <f>4/12</f>
        <v>0.33333333333333331</v>
      </c>
      <c r="AC99">
        <v>0</v>
      </c>
      <c r="AD99">
        <v>1</v>
      </c>
      <c r="AE99" s="11">
        <v>0</v>
      </c>
      <c r="AF99" s="11">
        <f t="shared" si="5"/>
        <v>0.375</v>
      </c>
      <c r="AG99">
        <v>0</v>
      </c>
      <c r="AH99">
        <v>0</v>
      </c>
      <c r="AI99" s="5" t="s">
        <v>398</v>
      </c>
      <c r="AJ99" s="5" t="s">
        <v>1551</v>
      </c>
      <c r="AK99" s="5" t="s">
        <v>1566</v>
      </c>
    </row>
    <row r="100" spans="1:37" x14ac:dyDescent="0.25">
      <c r="A100">
        <v>1172</v>
      </c>
      <c r="B100" t="s">
        <v>1572</v>
      </c>
      <c r="C100" t="s">
        <v>1573</v>
      </c>
      <c r="D100" t="s">
        <v>219</v>
      </c>
      <c r="E100">
        <v>1343</v>
      </c>
      <c r="F100" t="s">
        <v>265</v>
      </c>
      <c r="G100">
        <v>26</v>
      </c>
      <c r="H100" s="11">
        <v>0</v>
      </c>
      <c r="I100" s="11">
        <v>0</v>
      </c>
      <c r="J100" s="11">
        <v>0</v>
      </c>
      <c r="K100" s="11">
        <v>0</v>
      </c>
      <c r="L100" s="11">
        <v>0</v>
      </c>
      <c r="M100" s="11">
        <v>0</v>
      </c>
      <c r="N100" s="11">
        <v>0</v>
      </c>
      <c r="O100">
        <v>0</v>
      </c>
      <c r="P100" s="5">
        <f t="shared" si="3"/>
        <v>0</v>
      </c>
      <c r="Q100" s="11">
        <v>0</v>
      </c>
      <c r="R100" s="11">
        <v>0</v>
      </c>
      <c r="S100" s="11">
        <v>0</v>
      </c>
      <c r="T100" s="11">
        <v>0</v>
      </c>
      <c r="U100" s="11">
        <v>0</v>
      </c>
      <c r="V100" s="11">
        <v>0</v>
      </c>
      <c r="W100" s="11">
        <v>0</v>
      </c>
      <c r="X100" s="5">
        <f t="shared" si="4"/>
        <v>0</v>
      </c>
      <c r="Y100">
        <v>0</v>
      </c>
      <c r="Z100">
        <v>0</v>
      </c>
      <c r="AA100" s="11">
        <v>0</v>
      </c>
      <c r="AB100">
        <f>12/12</f>
        <v>1</v>
      </c>
      <c r="AC100">
        <v>0</v>
      </c>
      <c r="AD100">
        <v>0</v>
      </c>
      <c r="AE100" s="11">
        <v>0</v>
      </c>
      <c r="AF100" s="11">
        <f t="shared" si="5"/>
        <v>1</v>
      </c>
      <c r="AG100">
        <v>0</v>
      </c>
      <c r="AH100">
        <v>0</v>
      </c>
      <c r="AI100" s="5" t="s">
        <v>1575</v>
      </c>
    </row>
    <row r="101" spans="1:37" x14ac:dyDescent="0.25">
      <c r="A101">
        <v>1181</v>
      </c>
      <c r="B101" t="s">
        <v>13</v>
      </c>
      <c r="C101" t="s">
        <v>1582</v>
      </c>
      <c r="D101" t="s">
        <v>219</v>
      </c>
      <c r="E101">
        <v>1343</v>
      </c>
      <c r="F101" t="s">
        <v>817</v>
      </c>
      <c r="G101">
        <v>4</v>
      </c>
      <c r="H101" s="11">
        <v>0</v>
      </c>
      <c r="I101" s="11">
        <v>0</v>
      </c>
      <c r="J101" s="11">
        <v>0</v>
      </c>
      <c r="K101" s="11">
        <v>0</v>
      </c>
      <c r="L101" s="11">
        <v>0</v>
      </c>
      <c r="M101" s="11">
        <v>0</v>
      </c>
      <c r="N101" s="11">
        <v>0</v>
      </c>
      <c r="O101">
        <v>0</v>
      </c>
      <c r="P101" s="5">
        <f t="shared" si="3"/>
        <v>0</v>
      </c>
      <c r="Q101" s="11">
        <v>0</v>
      </c>
      <c r="R101" s="11">
        <v>0</v>
      </c>
      <c r="S101" s="11">
        <v>0</v>
      </c>
      <c r="T101" s="11">
        <v>0</v>
      </c>
      <c r="U101" s="11">
        <v>0</v>
      </c>
      <c r="V101" s="11">
        <v>0</v>
      </c>
      <c r="W101" s="11">
        <v>0</v>
      </c>
      <c r="X101" s="5">
        <f t="shared" si="4"/>
        <v>0</v>
      </c>
      <c r="Y101">
        <v>0</v>
      </c>
      <c r="Z101">
        <v>0</v>
      </c>
      <c r="AA101" s="11">
        <v>0</v>
      </c>
      <c r="AB101">
        <f>3/12</f>
        <v>0.25</v>
      </c>
      <c r="AC101">
        <v>1</v>
      </c>
      <c r="AD101">
        <v>0</v>
      </c>
      <c r="AE101" s="11">
        <v>0</v>
      </c>
      <c r="AF101" s="11">
        <f t="shared" si="5"/>
        <v>0.27083333333333331</v>
      </c>
      <c r="AG101">
        <v>0</v>
      </c>
      <c r="AH101">
        <v>0</v>
      </c>
      <c r="AI101" s="5" t="s">
        <v>398</v>
      </c>
      <c r="AK101" t="s">
        <v>1583</v>
      </c>
    </row>
    <row r="102" spans="1:37" x14ac:dyDescent="0.25">
      <c r="A102">
        <v>1182</v>
      </c>
      <c r="B102" t="s">
        <v>465</v>
      </c>
      <c r="C102" t="s">
        <v>1588</v>
      </c>
      <c r="D102" t="s">
        <v>219</v>
      </c>
      <c r="E102">
        <v>1343</v>
      </c>
      <c r="F102" t="s">
        <v>817</v>
      </c>
      <c r="G102">
        <v>4</v>
      </c>
      <c r="H102" s="11">
        <v>0</v>
      </c>
      <c r="I102" s="11">
        <v>0</v>
      </c>
      <c r="J102" s="11">
        <v>0</v>
      </c>
      <c r="K102" s="11">
        <v>0</v>
      </c>
      <c r="L102" s="11">
        <v>0</v>
      </c>
      <c r="M102" s="11">
        <v>0</v>
      </c>
      <c r="N102" s="11">
        <v>0</v>
      </c>
      <c r="O102">
        <v>0</v>
      </c>
      <c r="P102" s="5">
        <f t="shared" si="3"/>
        <v>0</v>
      </c>
      <c r="Q102" s="11">
        <v>0</v>
      </c>
      <c r="R102" s="11">
        <v>0</v>
      </c>
      <c r="S102" s="11">
        <v>0</v>
      </c>
      <c r="T102" s="11">
        <v>0</v>
      </c>
      <c r="U102" s="11">
        <v>0</v>
      </c>
      <c r="V102" s="11">
        <v>0</v>
      </c>
      <c r="W102" s="11">
        <v>0</v>
      </c>
      <c r="X102" s="5">
        <f t="shared" si="4"/>
        <v>0</v>
      </c>
      <c r="Y102">
        <v>0</v>
      </c>
      <c r="Z102">
        <v>0</v>
      </c>
      <c r="AA102" s="11">
        <v>0</v>
      </c>
      <c r="AB102">
        <f>9/12</f>
        <v>0.75</v>
      </c>
      <c r="AC102">
        <v>0</v>
      </c>
      <c r="AD102">
        <v>0</v>
      </c>
      <c r="AE102" s="11">
        <v>0</v>
      </c>
      <c r="AF102" s="11">
        <f t="shared" si="5"/>
        <v>0.75</v>
      </c>
      <c r="AG102">
        <v>0</v>
      </c>
      <c r="AH102">
        <v>0</v>
      </c>
      <c r="AI102" s="5" t="s">
        <v>398</v>
      </c>
      <c r="AK102" t="s">
        <v>1590</v>
      </c>
    </row>
    <row r="103" spans="1:37" x14ac:dyDescent="0.25">
      <c r="A103">
        <v>1183</v>
      </c>
      <c r="B103" t="s">
        <v>465</v>
      </c>
      <c r="C103" t="s">
        <v>1582</v>
      </c>
      <c r="D103" t="s">
        <v>219</v>
      </c>
      <c r="E103">
        <v>1343</v>
      </c>
      <c r="F103" t="s">
        <v>817</v>
      </c>
      <c r="G103">
        <v>4</v>
      </c>
      <c r="H103" s="11">
        <v>1</v>
      </c>
      <c r="I103" s="11">
        <v>0</v>
      </c>
      <c r="J103" s="11">
        <v>0</v>
      </c>
      <c r="K103" s="11">
        <v>0</v>
      </c>
      <c r="L103" s="11">
        <v>1</v>
      </c>
      <c r="M103" s="11">
        <v>0</v>
      </c>
      <c r="N103" s="11">
        <v>0</v>
      </c>
      <c r="O103">
        <v>0</v>
      </c>
      <c r="P103" s="5">
        <f t="shared" si="3"/>
        <v>19.5</v>
      </c>
      <c r="Q103" s="11">
        <v>0</v>
      </c>
      <c r="R103" s="11">
        <v>0</v>
      </c>
      <c r="S103" s="11">
        <v>0</v>
      </c>
      <c r="T103" s="11">
        <v>12</v>
      </c>
      <c r="U103" s="11">
        <v>0</v>
      </c>
      <c r="V103" s="11">
        <v>0</v>
      </c>
      <c r="W103" s="11">
        <v>0</v>
      </c>
      <c r="X103" s="5">
        <f t="shared" si="4"/>
        <v>58.5</v>
      </c>
      <c r="Y103">
        <v>0</v>
      </c>
      <c r="Z103">
        <v>0</v>
      </c>
      <c r="AA103" s="11">
        <v>0</v>
      </c>
      <c r="AB103">
        <v>5</v>
      </c>
      <c r="AC103">
        <v>0</v>
      </c>
      <c r="AD103">
        <v>0</v>
      </c>
      <c r="AE103" s="11">
        <v>0</v>
      </c>
      <c r="AF103" s="11">
        <f t="shared" si="5"/>
        <v>5</v>
      </c>
      <c r="AG103">
        <v>0</v>
      </c>
      <c r="AH103">
        <v>0</v>
      </c>
      <c r="AI103" s="5" t="s">
        <v>1599</v>
      </c>
      <c r="AJ103" s="5" t="s">
        <v>1600</v>
      </c>
    </row>
    <row r="104" spans="1:37" x14ac:dyDescent="0.25">
      <c r="A104">
        <v>1292</v>
      </c>
      <c r="B104" t="s">
        <v>107</v>
      </c>
      <c r="C104" t="s">
        <v>1694</v>
      </c>
      <c r="D104" t="s">
        <v>219</v>
      </c>
      <c r="E104">
        <v>1343</v>
      </c>
      <c r="F104" t="s">
        <v>1097</v>
      </c>
      <c r="G104">
        <v>10</v>
      </c>
      <c r="H104" s="11">
        <v>1</v>
      </c>
      <c r="I104" s="11">
        <v>0</v>
      </c>
      <c r="J104" s="11">
        <v>0</v>
      </c>
      <c r="K104" s="11">
        <v>0</v>
      </c>
      <c r="L104" s="11">
        <v>0</v>
      </c>
      <c r="M104" s="11">
        <v>0</v>
      </c>
      <c r="N104" s="11">
        <v>0</v>
      </c>
      <c r="O104">
        <v>0</v>
      </c>
      <c r="P104" s="5">
        <f t="shared" si="3"/>
        <v>0</v>
      </c>
      <c r="Q104" s="11">
        <v>0</v>
      </c>
      <c r="R104" s="11">
        <v>0</v>
      </c>
      <c r="S104" s="11">
        <v>0</v>
      </c>
      <c r="T104" s="11">
        <v>0</v>
      </c>
      <c r="U104" s="11">
        <v>0</v>
      </c>
      <c r="V104" s="11">
        <v>0</v>
      </c>
      <c r="W104" s="11">
        <v>0</v>
      </c>
      <c r="X104" s="5">
        <f t="shared" si="4"/>
        <v>0</v>
      </c>
      <c r="Y104">
        <v>0</v>
      </c>
      <c r="Z104">
        <v>0</v>
      </c>
      <c r="AA104" s="11">
        <v>0</v>
      </c>
      <c r="AB104">
        <f>12/12</f>
        <v>1</v>
      </c>
      <c r="AC104">
        <v>0</v>
      </c>
      <c r="AD104">
        <v>0</v>
      </c>
      <c r="AE104" s="11">
        <v>0</v>
      </c>
      <c r="AF104" s="11">
        <f t="shared" si="5"/>
        <v>1</v>
      </c>
      <c r="AG104">
        <v>0</v>
      </c>
      <c r="AH104">
        <v>0</v>
      </c>
      <c r="AI104" s="5" t="s">
        <v>791</v>
      </c>
      <c r="AJ104" s="5" t="s">
        <v>1696</v>
      </c>
      <c r="AK104" t="s">
        <v>1695</v>
      </c>
    </row>
    <row r="105" spans="1:37" x14ac:dyDescent="0.25">
      <c r="A105">
        <v>1301</v>
      </c>
      <c r="B105" t="s">
        <v>1706</v>
      </c>
      <c r="C105" t="s">
        <v>1707</v>
      </c>
      <c r="D105" t="s">
        <v>219</v>
      </c>
      <c r="E105">
        <v>1343</v>
      </c>
      <c r="F105" t="s">
        <v>1097</v>
      </c>
      <c r="G105">
        <v>10</v>
      </c>
      <c r="H105" s="11">
        <v>0</v>
      </c>
      <c r="I105" s="11">
        <v>0</v>
      </c>
      <c r="J105" s="11">
        <v>0</v>
      </c>
      <c r="K105" s="11">
        <v>0</v>
      </c>
      <c r="L105" s="11">
        <v>0</v>
      </c>
      <c r="M105" s="11">
        <v>0</v>
      </c>
      <c r="N105" s="11">
        <v>0</v>
      </c>
      <c r="O105" s="11">
        <v>0</v>
      </c>
      <c r="P105" s="5">
        <f t="shared" si="3"/>
        <v>0</v>
      </c>
      <c r="Q105" s="11">
        <v>0</v>
      </c>
      <c r="R105" s="11">
        <v>0</v>
      </c>
      <c r="S105" s="11">
        <v>0</v>
      </c>
      <c r="T105" s="11">
        <v>0</v>
      </c>
      <c r="U105" s="11">
        <v>0</v>
      </c>
      <c r="V105" s="11">
        <v>0</v>
      </c>
      <c r="W105" s="11">
        <v>0</v>
      </c>
      <c r="X105" s="5">
        <f t="shared" si="4"/>
        <v>0</v>
      </c>
      <c r="Y105">
        <v>0</v>
      </c>
      <c r="Z105">
        <v>0</v>
      </c>
      <c r="AA105" s="11">
        <v>0</v>
      </c>
      <c r="AB105">
        <v>0</v>
      </c>
      <c r="AC105">
        <v>0</v>
      </c>
      <c r="AD105">
        <v>3</v>
      </c>
      <c r="AE105" s="11">
        <v>0</v>
      </c>
      <c r="AF105" s="11">
        <f t="shared" si="5"/>
        <v>0.125</v>
      </c>
      <c r="AG105" s="11">
        <v>0</v>
      </c>
      <c r="AH105">
        <v>0</v>
      </c>
      <c r="AI105" s="5" t="s">
        <v>1271</v>
      </c>
      <c r="AJ105" s="5"/>
    </row>
    <row r="106" spans="1:37" x14ac:dyDescent="0.25">
      <c r="A106">
        <v>1302</v>
      </c>
      <c r="B106" t="s">
        <v>13</v>
      </c>
      <c r="C106" t="s">
        <v>1715</v>
      </c>
      <c r="D106" t="s">
        <v>219</v>
      </c>
      <c r="E106">
        <v>1343</v>
      </c>
      <c r="F106" t="s">
        <v>1097</v>
      </c>
      <c r="G106">
        <v>10</v>
      </c>
      <c r="H106" s="11">
        <v>0</v>
      </c>
      <c r="I106" s="11">
        <v>0</v>
      </c>
      <c r="J106" s="11">
        <v>0</v>
      </c>
      <c r="K106" s="11">
        <v>0</v>
      </c>
      <c r="L106" s="11">
        <v>0</v>
      </c>
      <c r="M106" s="11">
        <v>0</v>
      </c>
      <c r="N106" s="11">
        <v>0</v>
      </c>
      <c r="O106" s="11">
        <v>0</v>
      </c>
      <c r="P106" s="5">
        <f t="shared" si="3"/>
        <v>0</v>
      </c>
      <c r="Q106" s="11">
        <v>0</v>
      </c>
      <c r="R106" s="11">
        <v>0</v>
      </c>
      <c r="S106" s="11">
        <v>0</v>
      </c>
      <c r="T106" s="11">
        <v>0</v>
      </c>
      <c r="U106" s="11">
        <v>0</v>
      </c>
      <c r="V106" s="11">
        <v>0</v>
      </c>
      <c r="W106" s="11">
        <v>0</v>
      </c>
      <c r="X106" s="5">
        <f t="shared" si="4"/>
        <v>0</v>
      </c>
      <c r="Y106">
        <v>0</v>
      </c>
      <c r="Z106">
        <v>0</v>
      </c>
      <c r="AA106" s="11">
        <v>0</v>
      </c>
      <c r="AB106">
        <f>1/12</f>
        <v>8.3333333333333329E-2</v>
      </c>
      <c r="AC106">
        <v>0</v>
      </c>
      <c r="AD106">
        <v>0</v>
      </c>
      <c r="AE106" s="11">
        <v>0</v>
      </c>
      <c r="AF106" s="11">
        <f t="shared" si="5"/>
        <v>8.3333333333333329E-2</v>
      </c>
      <c r="AG106" s="11">
        <v>0</v>
      </c>
      <c r="AH106">
        <v>0</v>
      </c>
      <c r="AI106" s="5" t="s">
        <v>1271</v>
      </c>
      <c r="AJ106" s="5"/>
    </row>
    <row r="107" spans="1:37" x14ac:dyDescent="0.25">
      <c r="A107">
        <v>1312</v>
      </c>
      <c r="B107" t="s">
        <v>13</v>
      </c>
      <c r="C107" t="s">
        <v>1762</v>
      </c>
      <c r="D107" t="s">
        <v>219</v>
      </c>
      <c r="E107">
        <v>1343</v>
      </c>
      <c r="F107" t="s">
        <v>1097</v>
      </c>
      <c r="G107">
        <v>11</v>
      </c>
      <c r="H107" s="11">
        <v>0</v>
      </c>
      <c r="I107" s="11">
        <v>0</v>
      </c>
      <c r="J107" s="11">
        <v>0</v>
      </c>
      <c r="K107" s="11">
        <v>0</v>
      </c>
      <c r="L107" s="11">
        <v>0</v>
      </c>
      <c r="M107" s="11">
        <v>0</v>
      </c>
      <c r="N107" s="11">
        <v>0</v>
      </c>
      <c r="O107">
        <v>0</v>
      </c>
      <c r="P107" s="5">
        <f t="shared" si="3"/>
        <v>0</v>
      </c>
      <c r="Q107" s="11">
        <v>0</v>
      </c>
      <c r="R107" s="11">
        <v>0</v>
      </c>
      <c r="S107" s="11">
        <v>0</v>
      </c>
      <c r="T107" s="11">
        <v>0</v>
      </c>
      <c r="U107" s="11">
        <v>0</v>
      </c>
      <c r="V107" s="11">
        <v>0</v>
      </c>
      <c r="W107" s="11">
        <v>0</v>
      </c>
      <c r="X107" s="5">
        <f t="shared" si="4"/>
        <v>0</v>
      </c>
      <c r="Y107">
        <v>0</v>
      </c>
      <c r="Z107">
        <v>0</v>
      </c>
      <c r="AA107" s="11">
        <v>0</v>
      </c>
      <c r="AB107">
        <f>2/12</f>
        <v>0.16666666666666666</v>
      </c>
      <c r="AC107">
        <v>0</v>
      </c>
      <c r="AD107">
        <v>0</v>
      </c>
      <c r="AE107" s="11">
        <v>0</v>
      </c>
      <c r="AF107" s="11">
        <f t="shared" si="5"/>
        <v>0.16666666666666666</v>
      </c>
      <c r="AG107">
        <v>0</v>
      </c>
      <c r="AH107">
        <v>0</v>
      </c>
      <c r="AI107" s="5" t="s">
        <v>398</v>
      </c>
      <c r="AK107" t="s">
        <v>1764</v>
      </c>
    </row>
    <row r="108" spans="1:37" x14ac:dyDescent="0.25">
      <c r="A108">
        <v>1313</v>
      </c>
      <c r="B108" t="s">
        <v>1768</v>
      </c>
      <c r="C108" t="s">
        <v>1762</v>
      </c>
      <c r="D108" t="s">
        <v>220</v>
      </c>
      <c r="E108">
        <v>1343</v>
      </c>
      <c r="F108" t="s">
        <v>1097</v>
      </c>
      <c r="G108">
        <v>11</v>
      </c>
      <c r="H108" s="11">
        <v>0</v>
      </c>
      <c r="I108" s="11">
        <v>0</v>
      </c>
      <c r="J108" s="11">
        <v>0</v>
      </c>
      <c r="K108" s="11">
        <v>0</v>
      </c>
      <c r="L108" s="11">
        <v>0</v>
      </c>
      <c r="M108" s="11">
        <v>0</v>
      </c>
      <c r="N108" s="11">
        <v>0</v>
      </c>
      <c r="O108">
        <v>0</v>
      </c>
      <c r="P108" s="5">
        <f t="shared" si="3"/>
        <v>0</v>
      </c>
      <c r="Q108" s="11">
        <v>0</v>
      </c>
      <c r="R108" s="11">
        <v>0</v>
      </c>
      <c r="S108" s="11">
        <v>0</v>
      </c>
      <c r="T108" s="11">
        <v>0</v>
      </c>
      <c r="U108" s="11">
        <v>0</v>
      </c>
      <c r="V108" s="11">
        <v>0</v>
      </c>
      <c r="W108" s="11">
        <v>0</v>
      </c>
      <c r="X108" s="5">
        <f t="shared" si="4"/>
        <v>0</v>
      </c>
      <c r="Y108">
        <v>0</v>
      </c>
      <c r="Z108">
        <v>0</v>
      </c>
      <c r="AA108" s="11">
        <v>0</v>
      </c>
      <c r="AB108">
        <f>1/12</f>
        <v>8.3333333333333329E-2</v>
      </c>
      <c r="AC108">
        <v>0</v>
      </c>
      <c r="AD108">
        <v>0</v>
      </c>
      <c r="AE108" s="11">
        <v>0</v>
      </c>
      <c r="AF108" s="11">
        <f t="shared" si="5"/>
        <v>8.3333333333333329E-2</v>
      </c>
      <c r="AG108">
        <v>0</v>
      </c>
      <c r="AH108">
        <v>0</v>
      </c>
      <c r="AI108" s="5" t="s">
        <v>398</v>
      </c>
      <c r="AK108" t="s">
        <v>1772</v>
      </c>
    </row>
    <row r="109" spans="1:37" x14ac:dyDescent="0.25">
      <c r="A109">
        <v>1314</v>
      </c>
      <c r="B109" t="s">
        <v>1775</v>
      </c>
      <c r="C109" t="s">
        <v>1776</v>
      </c>
      <c r="D109" t="s">
        <v>219</v>
      </c>
      <c r="E109">
        <v>1343</v>
      </c>
      <c r="F109" t="s">
        <v>1097</v>
      </c>
      <c r="G109">
        <v>11</v>
      </c>
      <c r="H109" s="11">
        <v>0</v>
      </c>
      <c r="I109" s="11">
        <v>0</v>
      </c>
      <c r="J109" s="11">
        <v>0</v>
      </c>
      <c r="K109" s="11">
        <v>0</v>
      </c>
      <c r="L109" s="11">
        <v>0</v>
      </c>
      <c r="M109" s="11">
        <v>0</v>
      </c>
      <c r="N109" s="11">
        <v>0</v>
      </c>
      <c r="O109">
        <v>0</v>
      </c>
      <c r="P109" s="5">
        <f t="shared" si="3"/>
        <v>0</v>
      </c>
      <c r="Q109" s="11">
        <v>0</v>
      </c>
      <c r="R109" s="11">
        <v>0</v>
      </c>
      <c r="S109" s="11">
        <v>0</v>
      </c>
      <c r="T109" s="11">
        <v>0</v>
      </c>
      <c r="U109" s="11">
        <v>0</v>
      </c>
      <c r="V109" s="11">
        <v>0</v>
      </c>
      <c r="W109" s="11">
        <v>0</v>
      </c>
      <c r="X109" s="5">
        <f t="shared" si="4"/>
        <v>0</v>
      </c>
      <c r="Y109">
        <v>0</v>
      </c>
      <c r="Z109">
        <v>0</v>
      </c>
      <c r="AA109" s="11">
        <v>0</v>
      </c>
      <c r="AB109" s="11">
        <f>1/12</f>
        <v>8.3333333333333329E-2</v>
      </c>
      <c r="AC109" s="11">
        <v>0</v>
      </c>
      <c r="AD109" s="11">
        <v>0</v>
      </c>
      <c r="AE109" s="11">
        <v>0</v>
      </c>
      <c r="AF109" s="11">
        <f t="shared" si="5"/>
        <v>8.3333333333333329E-2</v>
      </c>
      <c r="AG109">
        <v>0</v>
      </c>
      <c r="AH109">
        <v>0</v>
      </c>
      <c r="AI109" s="5" t="s">
        <v>791</v>
      </c>
      <c r="AK109" t="s">
        <v>1778</v>
      </c>
    </row>
    <row r="110" spans="1:37" x14ac:dyDescent="0.25">
      <c r="A110">
        <v>1315</v>
      </c>
      <c r="B110" t="s">
        <v>1783</v>
      </c>
      <c r="C110" t="s">
        <v>1784</v>
      </c>
      <c r="D110" t="s">
        <v>219</v>
      </c>
      <c r="E110">
        <v>1343</v>
      </c>
      <c r="F110" t="s">
        <v>1097</v>
      </c>
      <c r="G110">
        <v>11</v>
      </c>
      <c r="H110" s="11">
        <v>0</v>
      </c>
      <c r="I110" s="11">
        <v>0</v>
      </c>
      <c r="J110" s="11">
        <v>0</v>
      </c>
      <c r="K110" s="11">
        <v>0</v>
      </c>
      <c r="L110" s="11">
        <v>0</v>
      </c>
      <c r="M110" s="11">
        <v>0</v>
      </c>
      <c r="N110" s="11">
        <v>0</v>
      </c>
      <c r="O110">
        <v>0</v>
      </c>
      <c r="P110" s="5">
        <f t="shared" si="3"/>
        <v>0</v>
      </c>
      <c r="Q110" s="11">
        <v>0</v>
      </c>
      <c r="R110" s="11">
        <v>0</v>
      </c>
      <c r="S110" s="11">
        <v>0</v>
      </c>
      <c r="T110" s="11">
        <v>0</v>
      </c>
      <c r="U110" s="11">
        <v>0</v>
      </c>
      <c r="V110" s="11">
        <v>0</v>
      </c>
      <c r="W110" s="11">
        <v>0</v>
      </c>
      <c r="X110" s="5">
        <f t="shared" si="4"/>
        <v>0</v>
      </c>
      <c r="Y110">
        <v>0</v>
      </c>
      <c r="Z110">
        <v>0</v>
      </c>
      <c r="AA110" s="11">
        <v>0</v>
      </c>
      <c r="AB110" s="11">
        <v>0</v>
      </c>
      <c r="AC110" s="11">
        <v>0</v>
      </c>
      <c r="AD110" s="11" t="s">
        <v>15</v>
      </c>
      <c r="AE110" s="11">
        <v>0</v>
      </c>
      <c r="AF110" s="11" t="e">
        <f t="shared" si="5"/>
        <v>#VALUE!</v>
      </c>
      <c r="AG110">
        <v>0</v>
      </c>
      <c r="AH110">
        <v>0</v>
      </c>
      <c r="AI110" s="5" t="s">
        <v>1635</v>
      </c>
      <c r="AK110" t="s">
        <v>1785</v>
      </c>
    </row>
    <row r="111" spans="1:37" x14ac:dyDescent="0.25">
      <c r="A111">
        <v>1331</v>
      </c>
      <c r="B111" t="s">
        <v>23</v>
      </c>
      <c r="C111" t="s">
        <v>1810</v>
      </c>
      <c r="D111" t="s">
        <v>219</v>
      </c>
      <c r="E111">
        <v>1343</v>
      </c>
      <c r="F111" t="s">
        <v>1097</v>
      </c>
      <c r="G111">
        <v>12</v>
      </c>
      <c r="H111" s="11">
        <v>0</v>
      </c>
      <c r="I111" s="11">
        <v>0</v>
      </c>
      <c r="J111" s="11">
        <v>0</v>
      </c>
      <c r="K111" s="11">
        <v>0</v>
      </c>
      <c r="L111" s="11">
        <v>0</v>
      </c>
      <c r="M111" s="11">
        <v>0</v>
      </c>
      <c r="N111" s="11">
        <v>0</v>
      </c>
      <c r="O111">
        <v>0</v>
      </c>
      <c r="P111" s="5">
        <f t="shared" si="3"/>
        <v>0</v>
      </c>
      <c r="Q111" s="11">
        <v>0</v>
      </c>
      <c r="R111" s="11">
        <v>0</v>
      </c>
      <c r="S111" s="11">
        <v>0</v>
      </c>
      <c r="T111" s="11">
        <v>0</v>
      </c>
      <c r="U111" s="11">
        <v>0</v>
      </c>
      <c r="V111" s="11">
        <v>0</v>
      </c>
      <c r="W111" s="11">
        <v>0</v>
      </c>
      <c r="X111" s="5">
        <f t="shared" si="4"/>
        <v>0</v>
      </c>
      <c r="Y111">
        <v>0</v>
      </c>
      <c r="Z111">
        <v>0</v>
      </c>
      <c r="AA111" s="11">
        <v>0</v>
      </c>
      <c r="AB111" s="11">
        <f>9/12</f>
        <v>0.75</v>
      </c>
      <c r="AC111" s="11">
        <v>0</v>
      </c>
      <c r="AD111" s="11">
        <v>0</v>
      </c>
      <c r="AE111" s="11">
        <v>0</v>
      </c>
      <c r="AF111" s="11">
        <f t="shared" si="5"/>
        <v>0.75</v>
      </c>
      <c r="AG111">
        <v>0</v>
      </c>
      <c r="AH111">
        <v>0</v>
      </c>
      <c r="AI111" s="5" t="s">
        <v>389</v>
      </c>
    </row>
    <row r="112" spans="1:37" x14ac:dyDescent="0.25">
      <c r="A112">
        <v>1332</v>
      </c>
      <c r="B112" t="s">
        <v>3804</v>
      </c>
      <c r="C112" t="s">
        <v>1810</v>
      </c>
      <c r="D112" t="s">
        <v>219</v>
      </c>
      <c r="E112">
        <v>1343</v>
      </c>
      <c r="F112" t="s">
        <v>1097</v>
      </c>
      <c r="G112">
        <v>12</v>
      </c>
      <c r="H112">
        <f>1/2</f>
        <v>0.5</v>
      </c>
      <c r="I112" s="11">
        <v>0</v>
      </c>
      <c r="J112" s="11">
        <v>0</v>
      </c>
      <c r="K112" s="11">
        <v>0</v>
      </c>
      <c r="L112" s="11">
        <v>0</v>
      </c>
      <c r="M112" s="11">
        <v>0</v>
      </c>
      <c r="N112" s="11">
        <v>0</v>
      </c>
      <c r="O112">
        <v>0</v>
      </c>
      <c r="P112" s="5">
        <f t="shared" si="3"/>
        <v>0</v>
      </c>
      <c r="Q112" s="11">
        <v>0</v>
      </c>
      <c r="R112" s="11">
        <v>0</v>
      </c>
      <c r="S112" s="11">
        <v>0</v>
      </c>
      <c r="T112" s="11">
        <v>0</v>
      </c>
      <c r="U112" s="11">
        <v>0</v>
      </c>
      <c r="V112" s="11">
        <v>0</v>
      </c>
      <c r="W112" s="11">
        <v>0</v>
      </c>
      <c r="X112" s="5">
        <f t="shared" si="4"/>
        <v>0</v>
      </c>
      <c r="Y112">
        <v>0</v>
      </c>
      <c r="Z112">
        <v>0</v>
      </c>
      <c r="AA112" s="11">
        <v>0</v>
      </c>
      <c r="AB112" s="11">
        <v>0</v>
      </c>
      <c r="AC112" s="11">
        <v>0</v>
      </c>
      <c r="AD112" s="11">
        <v>0</v>
      </c>
      <c r="AE112" s="11">
        <v>0</v>
      </c>
      <c r="AF112" s="11">
        <f t="shared" si="5"/>
        <v>0</v>
      </c>
      <c r="AG112">
        <v>0</v>
      </c>
      <c r="AH112">
        <v>0</v>
      </c>
      <c r="AI112" s="5" t="s">
        <v>1841</v>
      </c>
      <c r="AK112" t="s">
        <v>1842</v>
      </c>
    </row>
    <row r="113" spans="1:37" x14ac:dyDescent="0.25">
      <c r="A113">
        <v>1332</v>
      </c>
      <c r="B113" t="s">
        <v>3804</v>
      </c>
      <c r="C113" t="s">
        <v>1810</v>
      </c>
      <c r="D113" t="s">
        <v>219</v>
      </c>
      <c r="E113">
        <v>1343</v>
      </c>
      <c r="F113" t="s">
        <v>1097</v>
      </c>
      <c r="G113">
        <v>12</v>
      </c>
      <c r="H113">
        <v>0</v>
      </c>
      <c r="I113" s="11">
        <v>0</v>
      </c>
      <c r="J113" s="11">
        <v>0</v>
      </c>
      <c r="K113" s="11">
        <v>0</v>
      </c>
      <c r="L113" s="11">
        <v>0</v>
      </c>
      <c r="M113" s="11">
        <v>0</v>
      </c>
      <c r="N113" s="11">
        <v>1</v>
      </c>
      <c r="O113" s="11">
        <f>1/2</f>
        <v>0.5</v>
      </c>
      <c r="P113" s="5">
        <f t="shared" si="3"/>
        <v>3.046875</v>
      </c>
      <c r="Q113" s="11">
        <v>0</v>
      </c>
      <c r="R113" s="11">
        <v>0</v>
      </c>
      <c r="S113" s="11">
        <v>0</v>
      </c>
      <c r="T113" s="11">
        <f>1/2</f>
        <v>0.5</v>
      </c>
      <c r="U113" s="11">
        <f>1/2</f>
        <v>0.5</v>
      </c>
      <c r="V113" s="11">
        <v>0</v>
      </c>
      <c r="W113" s="11">
        <v>0</v>
      </c>
      <c r="X113" s="5">
        <f t="shared" si="4"/>
        <v>3.65625</v>
      </c>
      <c r="Y113">
        <v>0</v>
      </c>
      <c r="Z113">
        <v>0</v>
      </c>
      <c r="AA113" s="11">
        <v>0</v>
      </c>
      <c r="AB113">
        <f>2+2/12</f>
        <v>2.1666666666666665</v>
      </c>
      <c r="AC113" s="11">
        <v>0</v>
      </c>
      <c r="AD113" s="11">
        <v>1</v>
      </c>
      <c r="AE113" s="11">
        <f>1/2</f>
        <v>0.5</v>
      </c>
      <c r="AF113" s="11">
        <f t="shared" si="5"/>
        <v>2.2187499999999996</v>
      </c>
      <c r="AG113">
        <v>0</v>
      </c>
      <c r="AH113">
        <v>0</v>
      </c>
      <c r="AI113" s="5" t="s">
        <v>833</v>
      </c>
      <c r="AJ113" s="5" t="s">
        <v>1843</v>
      </c>
    </row>
    <row r="114" spans="1:37" x14ac:dyDescent="0.25">
      <c r="A114">
        <v>1333</v>
      </c>
      <c r="B114" t="s">
        <v>19</v>
      </c>
      <c r="C114" t="s">
        <v>2885</v>
      </c>
      <c r="D114" t="s">
        <v>219</v>
      </c>
      <c r="E114" s="5">
        <v>1345</v>
      </c>
      <c r="F114" s="5" t="s">
        <v>198</v>
      </c>
      <c r="H114">
        <v>0</v>
      </c>
      <c r="I114">
        <v>0</v>
      </c>
      <c r="J114">
        <v>0</v>
      </c>
      <c r="K114">
        <v>0</v>
      </c>
      <c r="L114">
        <v>0</v>
      </c>
      <c r="M114">
        <v>0</v>
      </c>
      <c r="N114">
        <v>0</v>
      </c>
      <c r="O114">
        <v>0</v>
      </c>
      <c r="P114" s="5">
        <f t="shared" si="3"/>
        <v>0</v>
      </c>
      <c r="Q114">
        <v>0</v>
      </c>
      <c r="R114">
        <v>0</v>
      </c>
      <c r="S114">
        <v>0</v>
      </c>
      <c r="T114">
        <v>0</v>
      </c>
      <c r="U114">
        <v>0</v>
      </c>
      <c r="V114">
        <v>0</v>
      </c>
      <c r="W114">
        <v>0</v>
      </c>
      <c r="X114" s="5">
        <f t="shared" si="4"/>
        <v>0</v>
      </c>
      <c r="Y114">
        <v>0</v>
      </c>
      <c r="Z114">
        <v>0</v>
      </c>
      <c r="AA114">
        <v>0</v>
      </c>
      <c r="AB114">
        <f>1/12</f>
        <v>8.3333333333333329E-2</v>
      </c>
      <c r="AC114">
        <v>0</v>
      </c>
      <c r="AD114">
        <v>0</v>
      </c>
      <c r="AE114">
        <v>0</v>
      </c>
      <c r="AF114" s="11">
        <f t="shared" si="5"/>
        <v>8.3333333333333329E-2</v>
      </c>
      <c r="AG114">
        <v>0</v>
      </c>
      <c r="AH114">
        <v>0</v>
      </c>
      <c r="AI114" t="s">
        <v>3457</v>
      </c>
      <c r="AJ114" t="s">
        <v>3378</v>
      </c>
      <c r="AK114" t="s">
        <v>3451</v>
      </c>
    </row>
    <row r="115" spans="1:37" x14ac:dyDescent="0.25">
      <c r="A115">
        <v>1341</v>
      </c>
      <c r="B115" t="s">
        <v>19</v>
      </c>
      <c r="C115" t="s">
        <v>1810</v>
      </c>
      <c r="D115" t="s">
        <v>219</v>
      </c>
      <c r="E115">
        <v>1343</v>
      </c>
      <c r="F115" t="s">
        <v>1097</v>
      </c>
      <c r="G115">
        <v>12</v>
      </c>
      <c r="H115" s="11">
        <v>0</v>
      </c>
      <c r="I115" s="11">
        <v>0</v>
      </c>
      <c r="J115" s="11">
        <v>0</v>
      </c>
      <c r="K115" s="11">
        <v>0</v>
      </c>
      <c r="L115" s="11">
        <v>0</v>
      </c>
      <c r="M115" s="11">
        <v>0</v>
      </c>
      <c r="N115" s="11">
        <v>0</v>
      </c>
      <c r="O115" s="11">
        <v>0</v>
      </c>
      <c r="P115" s="5">
        <f t="shared" si="3"/>
        <v>0</v>
      </c>
      <c r="Q115" s="11">
        <v>0</v>
      </c>
      <c r="R115" s="11">
        <v>0</v>
      </c>
      <c r="S115" s="11">
        <v>0</v>
      </c>
      <c r="T115" s="11">
        <v>0</v>
      </c>
      <c r="U115" s="11">
        <v>0</v>
      </c>
      <c r="V115" s="11">
        <v>0</v>
      </c>
      <c r="W115" s="11">
        <v>0</v>
      </c>
      <c r="X115" s="5">
        <f t="shared" si="4"/>
        <v>0</v>
      </c>
      <c r="Y115">
        <v>0</v>
      </c>
      <c r="Z115">
        <v>0</v>
      </c>
      <c r="AA115" s="11">
        <v>0</v>
      </c>
      <c r="AB115">
        <f>2/12</f>
        <v>0.16666666666666666</v>
      </c>
      <c r="AC115" s="11">
        <v>0</v>
      </c>
      <c r="AD115" s="11">
        <v>0</v>
      </c>
      <c r="AE115" s="11">
        <v>0</v>
      </c>
      <c r="AF115" s="11">
        <f t="shared" si="5"/>
        <v>0.16666666666666666</v>
      </c>
      <c r="AG115">
        <v>0</v>
      </c>
      <c r="AH115">
        <v>0</v>
      </c>
      <c r="AI115" s="5" t="s">
        <v>1870</v>
      </c>
    </row>
    <row r="116" spans="1:37" x14ac:dyDescent="0.25">
      <c r="A116">
        <v>1342</v>
      </c>
      <c r="B116" t="s">
        <v>465</v>
      </c>
      <c r="C116" t="s">
        <v>1810</v>
      </c>
      <c r="D116" t="s">
        <v>219</v>
      </c>
      <c r="E116">
        <v>1343</v>
      </c>
      <c r="F116" t="s">
        <v>1097</v>
      </c>
      <c r="G116">
        <v>12</v>
      </c>
      <c r="H116" s="11">
        <v>0</v>
      </c>
      <c r="I116" s="11">
        <v>0</v>
      </c>
      <c r="J116" s="11">
        <v>0</v>
      </c>
      <c r="K116" s="11">
        <v>0</v>
      </c>
      <c r="L116" s="11">
        <v>0</v>
      </c>
      <c r="M116" s="11">
        <v>0</v>
      </c>
      <c r="N116" s="11">
        <v>0</v>
      </c>
      <c r="O116" s="11">
        <v>0</v>
      </c>
      <c r="P116" s="5">
        <f t="shared" si="3"/>
        <v>0</v>
      </c>
      <c r="Q116" s="11">
        <v>0</v>
      </c>
      <c r="R116" s="11">
        <v>0</v>
      </c>
      <c r="S116" s="11">
        <v>0</v>
      </c>
      <c r="T116" s="11">
        <v>0</v>
      </c>
      <c r="U116" s="11">
        <v>0</v>
      </c>
      <c r="V116" s="11">
        <v>0</v>
      </c>
      <c r="W116" s="11">
        <v>0</v>
      </c>
      <c r="X116" s="5">
        <f t="shared" si="4"/>
        <v>0</v>
      </c>
      <c r="Y116">
        <v>0</v>
      </c>
      <c r="Z116">
        <v>0</v>
      </c>
      <c r="AA116" s="11">
        <v>0</v>
      </c>
      <c r="AB116">
        <f>2/12</f>
        <v>0.16666666666666666</v>
      </c>
      <c r="AC116" s="11">
        <v>0</v>
      </c>
      <c r="AD116" s="11">
        <v>0</v>
      </c>
      <c r="AE116" s="11">
        <v>0</v>
      </c>
      <c r="AF116" s="11">
        <f t="shared" si="5"/>
        <v>0.16666666666666666</v>
      </c>
      <c r="AG116">
        <v>0</v>
      </c>
      <c r="AH116">
        <v>0</v>
      </c>
      <c r="AI116" s="5" t="s">
        <v>1870</v>
      </c>
    </row>
    <row r="117" spans="1:37" x14ac:dyDescent="0.25">
      <c r="A117">
        <v>1361</v>
      </c>
      <c r="B117" t="s">
        <v>465</v>
      </c>
      <c r="C117" t="s">
        <v>1914</v>
      </c>
      <c r="D117" t="s">
        <v>219</v>
      </c>
      <c r="E117">
        <v>1342</v>
      </c>
      <c r="F117" t="s">
        <v>817</v>
      </c>
      <c r="G117">
        <v>12</v>
      </c>
      <c r="H117" s="11">
        <v>0</v>
      </c>
      <c r="I117" s="11">
        <v>0</v>
      </c>
      <c r="J117" s="11">
        <v>0</v>
      </c>
      <c r="K117" s="11">
        <v>0</v>
      </c>
      <c r="L117" s="11">
        <v>0</v>
      </c>
      <c r="M117" s="11">
        <v>0</v>
      </c>
      <c r="N117" s="11">
        <v>0</v>
      </c>
      <c r="O117" s="11">
        <v>0</v>
      </c>
      <c r="P117" s="5">
        <f t="shared" si="3"/>
        <v>0</v>
      </c>
      <c r="Q117" s="11">
        <v>0</v>
      </c>
      <c r="R117" s="11">
        <v>0</v>
      </c>
      <c r="S117" s="11">
        <v>0</v>
      </c>
      <c r="T117">
        <v>1</v>
      </c>
      <c r="U117" s="11">
        <v>0</v>
      </c>
      <c r="V117" s="11">
        <v>0</v>
      </c>
      <c r="W117" s="11">
        <v>0</v>
      </c>
      <c r="X117" s="5">
        <f t="shared" si="4"/>
        <v>4.875</v>
      </c>
      <c r="Y117">
        <v>0</v>
      </c>
      <c r="Z117">
        <v>0</v>
      </c>
      <c r="AA117" s="11">
        <v>0</v>
      </c>
      <c r="AB117" s="11">
        <v>0</v>
      </c>
      <c r="AC117" s="11">
        <v>0</v>
      </c>
      <c r="AD117" s="11">
        <v>0</v>
      </c>
      <c r="AE117" s="11">
        <v>0</v>
      </c>
      <c r="AF117" s="11">
        <f t="shared" si="5"/>
        <v>0</v>
      </c>
      <c r="AG117" s="11">
        <v>0</v>
      </c>
      <c r="AH117">
        <v>0</v>
      </c>
      <c r="AI117" s="5" t="s">
        <v>488</v>
      </c>
    </row>
    <row r="118" spans="1:37" x14ac:dyDescent="0.25">
      <c r="A118">
        <v>1361</v>
      </c>
      <c r="B118" t="s">
        <v>465</v>
      </c>
      <c r="C118" t="s">
        <v>1914</v>
      </c>
      <c r="D118" t="s">
        <v>219</v>
      </c>
      <c r="E118">
        <v>1342</v>
      </c>
      <c r="F118" t="s">
        <v>817</v>
      </c>
      <c r="G118">
        <v>12</v>
      </c>
      <c r="H118" s="11">
        <v>0</v>
      </c>
      <c r="I118" s="11">
        <v>0</v>
      </c>
      <c r="J118" s="11">
        <v>0</v>
      </c>
      <c r="K118" s="11">
        <v>0</v>
      </c>
      <c r="L118" s="11">
        <v>0</v>
      </c>
      <c r="M118" s="11">
        <v>0</v>
      </c>
      <c r="N118" s="11">
        <v>0</v>
      </c>
      <c r="O118" s="11">
        <v>0</v>
      </c>
      <c r="P118" s="5">
        <f t="shared" si="3"/>
        <v>0</v>
      </c>
      <c r="Q118" s="11">
        <v>0</v>
      </c>
      <c r="R118" s="11">
        <v>0</v>
      </c>
      <c r="S118" s="11">
        <v>0</v>
      </c>
      <c r="T118" s="11">
        <v>0</v>
      </c>
      <c r="U118" s="11">
        <v>0</v>
      </c>
      <c r="V118" s="11">
        <v>0</v>
      </c>
      <c r="W118" s="11">
        <v>0</v>
      </c>
      <c r="X118" s="5">
        <f t="shared" si="4"/>
        <v>0</v>
      </c>
      <c r="Y118">
        <v>0</v>
      </c>
      <c r="Z118">
        <v>0</v>
      </c>
      <c r="AA118" s="11">
        <v>0</v>
      </c>
      <c r="AB118" s="11">
        <f>21/12</f>
        <v>1.75</v>
      </c>
      <c r="AC118" s="11">
        <v>0</v>
      </c>
      <c r="AD118" s="11">
        <v>0</v>
      </c>
      <c r="AE118" s="11">
        <v>0</v>
      </c>
      <c r="AF118" s="11">
        <f t="shared" si="5"/>
        <v>1.75</v>
      </c>
      <c r="AG118">
        <f>1/12</f>
        <v>8.3333333333333329E-2</v>
      </c>
      <c r="AH118">
        <v>0</v>
      </c>
      <c r="AI118" t="s">
        <v>398</v>
      </c>
    </row>
    <row r="119" spans="1:37" x14ac:dyDescent="0.25">
      <c r="A119">
        <v>1361</v>
      </c>
      <c r="B119" t="s">
        <v>465</v>
      </c>
      <c r="C119" t="s">
        <v>1914</v>
      </c>
      <c r="D119" t="s">
        <v>219</v>
      </c>
      <c r="E119">
        <v>1342</v>
      </c>
      <c r="F119" t="s">
        <v>817</v>
      </c>
      <c r="G119">
        <v>12</v>
      </c>
      <c r="H119" s="11">
        <v>0</v>
      </c>
      <c r="I119" s="11">
        <v>0</v>
      </c>
      <c r="J119" s="11">
        <v>0</v>
      </c>
      <c r="K119" s="11">
        <v>0</v>
      </c>
      <c r="L119" s="11">
        <v>0</v>
      </c>
      <c r="M119" s="11">
        <v>0</v>
      </c>
      <c r="N119" s="11">
        <v>0</v>
      </c>
      <c r="O119" s="11">
        <v>0</v>
      </c>
      <c r="P119" s="5">
        <f t="shared" si="3"/>
        <v>0</v>
      </c>
      <c r="Q119" s="11">
        <v>0</v>
      </c>
      <c r="R119" s="11">
        <v>0</v>
      </c>
      <c r="S119" s="11">
        <v>0</v>
      </c>
      <c r="T119" s="11">
        <v>0</v>
      </c>
      <c r="U119" s="11">
        <v>0</v>
      </c>
      <c r="V119" s="11">
        <v>0</v>
      </c>
      <c r="W119" s="11">
        <v>0</v>
      </c>
      <c r="X119" s="5">
        <f t="shared" si="4"/>
        <v>0</v>
      </c>
      <c r="Y119">
        <v>0</v>
      </c>
      <c r="Z119">
        <v>0</v>
      </c>
      <c r="AA119" s="11">
        <v>0</v>
      </c>
      <c r="AB119" s="11">
        <f>6/12</f>
        <v>0.5</v>
      </c>
      <c r="AC119" s="11">
        <v>0</v>
      </c>
      <c r="AD119" s="11">
        <v>0</v>
      </c>
      <c r="AE119" s="11">
        <v>0</v>
      </c>
      <c r="AF119" s="11">
        <f t="shared" si="5"/>
        <v>0.5</v>
      </c>
      <c r="AG119">
        <v>0</v>
      </c>
      <c r="AH119">
        <v>0</v>
      </c>
      <c r="AI119" t="s">
        <v>398</v>
      </c>
    </row>
    <row r="120" spans="1:37" x14ac:dyDescent="0.25">
      <c r="A120">
        <v>1361</v>
      </c>
      <c r="B120" t="s">
        <v>465</v>
      </c>
      <c r="C120" t="s">
        <v>1914</v>
      </c>
      <c r="D120" t="s">
        <v>219</v>
      </c>
      <c r="E120">
        <v>1342</v>
      </c>
      <c r="F120" t="s">
        <v>817</v>
      </c>
      <c r="G120">
        <v>12</v>
      </c>
      <c r="H120" s="11">
        <v>0</v>
      </c>
      <c r="I120" s="11">
        <v>0</v>
      </c>
      <c r="J120" s="11">
        <v>0</v>
      </c>
      <c r="K120" s="11">
        <v>0</v>
      </c>
      <c r="L120" s="11">
        <v>0</v>
      </c>
      <c r="M120" s="11">
        <v>0</v>
      </c>
      <c r="N120" s="11">
        <v>0</v>
      </c>
      <c r="O120" s="11">
        <v>0</v>
      </c>
      <c r="P120" s="5">
        <f t="shared" si="3"/>
        <v>0</v>
      </c>
      <c r="Q120" s="11">
        <v>0</v>
      </c>
      <c r="R120" s="11">
        <v>0</v>
      </c>
      <c r="S120" s="11">
        <v>0</v>
      </c>
      <c r="T120" s="11">
        <v>0</v>
      </c>
      <c r="U120" s="11">
        <v>0</v>
      </c>
      <c r="V120" s="11">
        <v>0</v>
      </c>
      <c r="W120" s="11">
        <v>0</v>
      </c>
      <c r="X120" s="5">
        <f t="shared" si="4"/>
        <v>0</v>
      </c>
      <c r="Y120">
        <v>0</v>
      </c>
      <c r="Z120">
        <v>0</v>
      </c>
      <c r="AA120" s="11">
        <v>0</v>
      </c>
      <c r="AB120" s="11">
        <f>2+2/12</f>
        <v>2.1666666666666665</v>
      </c>
      <c r="AC120" s="11">
        <v>0</v>
      </c>
      <c r="AD120" s="11">
        <v>0</v>
      </c>
      <c r="AE120" s="11">
        <v>0</v>
      </c>
      <c r="AF120" s="11">
        <f t="shared" si="5"/>
        <v>2.1666666666666665</v>
      </c>
      <c r="AG120">
        <v>0</v>
      </c>
      <c r="AH120">
        <v>0</v>
      </c>
      <c r="AI120" t="s">
        <v>398</v>
      </c>
    </row>
    <row r="121" spans="1:37" x14ac:dyDescent="0.25">
      <c r="A121">
        <v>1361</v>
      </c>
      <c r="B121" t="s">
        <v>465</v>
      </c>
      <c r="C121" t="s">
        <v>1914</v>
      </c>
      <c r="D121" t="s">
        <v>219</v>
      </c>
      <c r="E121">
        <v>1342</v>
      </c>
      <c r="F121" t="s">
        <v>817</v>
      </c>
      <c r="G121">
        <v>12</v>
      </c>
      <c r="H121" s="11">
        <v>0</v>
      </c>
      <c r="I121" s="11">
        <v>0</v>
      </c>
      <c r="J121" s="11">
        <v>0</v>
      </c>
      <c r="K121" s="11">
        <v>0</v>
      </c>
      <c r="L121" s="11">
        <v>0</v>
      </c>
      <c r="M121" s="11">
        <v>0</v>
      </c>
      <c r="N121" s="11">
        <v>0</v>
      </c>
      <c r="O121" s="11">
        <v>0</v>
      </c>
      <c r="P121" s="5">
        <f t="shared" si="3"/>
        <v>0</v>
      </c>
      <c r="Q121" s="11">
        <v>0</v>
      </c>
      <c r="R121" s="11">
        <v>0</v>
      </c>
      <c r="S121" s="11">
        <v>0</v>
      </c>
      <c r="T121" s="11">
        <v>0</v>
      </c>
      <c r="U121" s="11">
        <v>0</v>
      </c>
      <c r="V121" s="11">
        <v>0</v>
      </c>
      <c r="W121" s="11">
        <v>0</v>
      </c>
      <c r="X121" s="5">
        <f t="shared" si="4"/>
        <v>0</v>
      </c>
      <c r="Y121">
        <v>0</v>
      </c>
      <c r="Z121">
        <v>0</v>
      </c>
      <c r="AA121" s="11">
        <v>0</v>
      </c>
      <c r="AB121" s="11">
        <f>1/12</f>
        <v>8.3333333333333329E-2</v>
      </c>
      <c r="AC121" s="11">
        <v>0</v>
      </c>
      <c r="AD121" s="11">
        <v>0</v>
      </c>
      <c r="AE121" s="11">
        <v>0</v>
      </c>
      <c r="AF121" s="11">
        <f t="shared" si="5"/>
        <v>8.3333333333333329E-2</v>
      </c>
      <c r="AG121">
        <f>1/12</f>
        <v>8.3333333333333329E-2</v>
      </c>
      <c r="AH121">
        <v>0</v>
      </c>
      <c r="AI121" t="s">
        <v>1900</v>
      </c>
    </row>
    <row r="122" spans="1:37" x14ac:dyDescent="0.25">
      <c r="A122">
        <v>1361</v>
      </c>
      <c r="B122" t="s">
        <v>465</v>
      </c>
      <c r="C122" t="s">
        <v>1914</v>
      </c>
      <c r="D122" t="s">
        <v>219</v>
      </c>
      <c r="E122">
        <v>1342</v>
      </c>
      <c r="F122" t="s">
        <v>817</v>
      </c>
      <c r="G122">
        <v>12</v>
      </c>
      <c r="H122">
        <v>0</v>
      </c>
      <c r="I122">
        <v>0</v>
      </c>
      <c r="J122">
        <v>0</v>
      </c>
      <c r="K122">
        <v>0</v>
      </c>
      <c r="L122">
        <v>0</v>
      </c>
      <c r="M122">
        <v>0</v>
      </c>
      <c r="N122">
        <v>0</v>
      </c>
      <c r="O122">
        <v>0</v>
      </c>
      <c r="P122" s="5">
        <f t="shared" si="3"/>
        <v>0</v>
      </c>
      <c r="Q122">
        <v>0</v>
      </c>
      <c r="R122">
        <v>0</v>
      </c>
      <c r="S122">
        <v>0</v>
      </c>
      <c r="T122">
        <f>1/2</f>
        <v>0.5</v>
      </c>
      <c r="U122">
        <v>0</v>
      </c>
      <c r="V122">
        <v>0</v>
      </c>
      <c r="W122">
        <v>0</v>
      </c>
      <c r="X122" s="5">
        <f t="shared" si="4"/>
        <v>2.4375</v>
      </c>
      <c r="Y122">
        <v>0</v>
      </c>
      <c r="Z122">
        <v>0</v>
      </c>
      <c r="AA122">
        <v>0</v>
      </c>
      <c r="AB122">
        <v>0</v>
      </c>
      <c r="AC122">
        <v>0</v>
      </c>
      <c r="AD122">
        <v>0</v>
      </c>
      <c r="AE122">
        <v>0</v>
      </c>
      <c r="AF122" s="11">
        <f t="shared" si="5"/>
        <v>0</v>
      </c>
      <c r="AG122">
        <v>0</v>
      </c>
      <c r="AH122">
        <v>0</v>
      </c>
      <c r="AI122" t="s">
        <v>1271</v>
      </c>
    </row>
    <row r="123" spans="1:37" x14ac:dyDescent="0.25">
      <c r="A123">
        <v>1361</v>
      </c>
      <c r="B123" t="s">
        <v>465</v>
      </c>
      <c r="C123" t="s">
        <v>1914</v>
      </c>
      <c r="D123" t="s">
        <v>219</v>
      </c>
      <c r="E123">
        <v>1342</v>
      </c>
      <c r="F123" t="s">
        <v>817</v>
      </c>
      <c r="G123">
        <v>12</v>
      </c>
      <c r="H123">
        <v>0</v>
      </c>
      <c r="I123">
        <v>0</v>
      </c>
      <c r="J123">
        <v>0</v>
      </c>
      <c r="K123">
        <v>0</v>
      </c>
      <c r="L123">
        <v>0</v>
      </c>
      <c r="M123">
        <v>0</v>
      </c>
      <c r="N123">
        <v>0</v>
      </c>
      <c r="O123">
        <v>0</v>
      </c>
      <c r="P123" s="5">
        <f t="shared" si="3"/>
        <v>0</v>
      </c>
      <c r="Q123">
        <v>0</v>
      </c>
      <c r="R123">
        <v>0</v>
      </c>
      <c r="S123">
        <v>0</v>
      </c>
      <c r="T123">
        <v>1</v>
      </c>
      <c r="U123">
        <v>0</v>
      </c>
      <c r="V123">
        <v>0</v>
      </c>
      <c r="W123">
        <v>0</v>
      </c>
      <c r="X123" s="5">
        <f t="shared" si="4"/>
        <v>4.875</v>
      </c>
      <c r="Y123">
        <v>0</v>
      </c>
      <c r="Z123">
        <v>0</v>
      </c>
      <c r="AA123">
        <v>0</v>
      </c>
      <c r="AB123">
        <v>0</v>
      </c>
      <c r="AC123">
        <v>0</v>
      </c>
      <c r="AD123">
        <v>0</v>
      </c>
      <c r="AE123">
        <v>0</v>
      </c>
      <c r="AF123" s="11">
        <f t="shared" si="5"/>
        <v>0</v>
      </c>
      <c r="AG123">
        <v>0</v>
      </c>
      <c r="AH123">
        <v>0</v>
      </c>
      <c r="AI123" t="s">
        <v>488</v>
      </c>
    </row>
    <row r="124" spans="1:37" x14ac:dyDescent="0.25">
      <c r="A124">
        <v>1361</v>
      </c>
      <c r="B124" t="s">
        <v>465</v>
      </c>
      <c r="C124" t="s">
        <v>1914</v>
      </c>
      <c r="D124" t="s">
        <v>219</v>
      </c>
      <c r="E124">
        <v>1342</v>
      </c>
      <c r="F124" t="s">
        <v>817</v>
      </c>
      <c r="G124">
        <v>12</v>
      </c>
      <c r="H124">
        <v>0</v>
      </c>
      <c r="I124">
        <v>0</v>
      </c>
      <c r="J124">
        <v>0</v>
      </c>
      <c r="K124">
        <v>0</v>
      </c>
      <c r="L124">
        <v>0</v>
      </c>
      <c r="M124">
        <v>0</v>
      </c>
      <c r="N124">
        <v>0</v>
      </c>
      <c r="O124">
        <v>0</v>
      </c>
      <c r="P124" s="5">
        <f t="shared" si="3"/>
        <v>0</v>
      </c>
      <c r="Q124">
        <v>0</v>
      </c>
      <c r="R124">
        <v>0</v>
      </c>
      <c r="S124">
        <v>0</v>
      </c>
      <c r="T124">
        <v>0</v>
      </c>
      <c r="U124">
        <v>0</v>
      </c>
      <c r="V124">
        <v>0</v>
      </c>
      <c r="W124">
        <v>0</v>
      </c>
      <c r="X124" s="5">
        <f t="shared" si="4"/>
        <v>0</v>
      </c>
      <c r="Y124">
        <v>0</v>
      </c>
      <c r="Z124">
        <v>0</v>
      </c>
      <c r="AA124">
        <v>0</v>
      </c>
      <c r="AB124">
        <v>0</v>
      </c>
      <c r="AC124">
        <v>0</v>
      </c>
      <c r="AD124">
        <v>0</v>
      </c>
      <c r="AE124">
        <v>0</v>
      </c>
      <c r="AF124" s="11">
        <f t="shared" si="5"/>
        <v>0</v>
      </c>
      <c r="AG124">
        <v>0</v>
      </c>
      <c r="AH124">
        <v>0</v>
      </c>
      <c r="AI124" t="s">
        <v>1930</v>
      </c>
    </row>
    <row r="125" spans="1:37" x14ac:dyDescent="0.25">
      <c r="A125">
        <v>1361</v>
      </c>
      <c r="B125" t="s">
        <v>465</v>
      </c>
      <c r="C125" t="s">
        <v>1914</v>
      </c>
      <c r="D125" t="s">
        <v>219</v>
      </c>
      <c r="E125">
        <v>1342</v>
      </c>
      <c r="F125" t="s">
        <v>817</v>
      </c>
      <c r="G125">
        <v>12</v>
      </c>
      <c r="H125">
        <v>1</v>
      </c>
      <c r="I125">
        <v>0</v>
      </c>
      <c r="J125">
        <v>0</v>
      </c>
      <c r="K125">
        <v>0</v>
      </c>
      <c r="L125">
        <v>0</v>
      </c>
      <c r="M125">
        <v>0</v>
      </c>
      <c r="N125">
        <v>0</v>
      </c>
      <c r="O125">
        <v>0</v>
      </c>
      <c r="P125" s="5">
        <f t="shared" si="3"/>
        <v>0</v>
      </c>
      <c r="Q125">
        <v>0</v>
      </c>
      <c r="R125">
        <v>0</v>
      </c>
      <c r="S125">
        <v>0</v>
      </c>
      <c r="T125">
        <v>1</v>
      </c>
      <c r="U125">
        <v>0</v>
      </c>
      <c r="V125">
        <v>0</v>
      </c>
      <c r="W125">
        <v>0</v>
      </c>
      <c r="X125" s="5">
        <f t="shared" si="4"/>
        <v>4.875</v>
      </c>
      <c r="Y125">
        <v>0</v>
      </c>
      <c r="Z125">
        <v>0</v>
      </c>
      <c r="AA125">
        <v>0</v>
      </c>
      <c r="AB125">
        <v>0</v>
      </c>
      <c r="AC125">
        <v>0</v>
      </c>
      <c r="AD125">
        <v>0</v>
      </c>
      <c r="AE125">
        <v>0</v>
      </c>
      <c r="AF125" s="11">
        <f t="shared" si="5"/>
        <v>0</v>
      </c>
      <c r="AG125">
        <v>0</v>
      </c>
      <c r="AH125">
        <v>0</v>
      </c>
      <c r="AI125" t="s">
        <v>1931</v>
      </c>
    </row>
    <row r="126" spans="1:37" x14ac:dyDescent="0.25">
      <c r="A126">
        <v>1361</v>
      </c>
      <c r="B126" t="s">
        <v>465</v>
      </c>
      <c r="C126" t="s">
        <v>1914</v>
      </c>
      <c r="D126" t="s">
        <v>219</v>
      </c>
      <c r="E126">
        <v>1342</v>
      </c>
      <c r="F126" t="s">
        <v>817</v>
      </c>
      <c r="G126">
        <v>12</v>
      </c>
      <c r="H126">
        <v>0</v>
      </c>
      <c r="I126">
        <v>0</v>
      </c>
      <c r="J126">
        <v>0</v>
      </c>
      <c r="K126">
        <v>0</v>
      </c>
      <c r="L126">
        <v>0</v>
      </c>
      <c r="M126">
        <v>0</v>
      </c>
      <c r="N126">
        <v>0</v>
      </c>
      <c r="O126">
        <v>0</v>
      </c>
      <c r="P126" s="5">
        <f t="shared" si="3"/>
        <v>0</v>
      </c>
      <c r="Q126">
        <v>0</v>
      </c>
      <c r="R126">
        <v>0</v>
      </c>
      <c r="S126">
        <v>0</v>
      </c>
      <c r="T126">
        <v>0</v>
      </c>
      <c r="U126">
        <v>0</v>
      </c>
      <c r="V126">
        <v>0</v>
      </c>
      <c r="W126">
        <v>0</v>
      </c>
      <c r="X126" s="5">
        <f t="shared" si="4"/>
        <v>0</v>
      </c>
      <c r="Y126">
        <v>0</v>
      </c>
      <c r="Z126">
        <v>0</v>
      </c>
      <c r="AA126">
        <v>0</v>
      </c>
      <c r="AB126">
        <f>1/12</f>
        <v>8.3333333333333329E-2</v>
      </c>
      <c r="AC126">
        <v>0</v>
      </c>
      <c r="AD126">
        <v>0</v>
      </c>
      <c r="AE126">
        <v>0</v>
      </c>
      <c r="AF126" s="11">
        <f t="shared" si="5"/>
        <v>8.3333333333333329E-2</v>
      </c>
      <c r="AG126">
        <f>1/12</f>
        <v>8.3333333333333329E-2</v>
      </c>
      <c r="AH126">
        <v>0</v>
      </c>
      <c r="AI126" t="s">
        <v>1934</v>
      </c>
      <c r="AJ126" t="s">
        <v>730</v>
      </c>
    </row>
    <row r="127" spans="1:37" x14ac:dyDescent="0.25">
      <c r="A127">
        <v>1361</v>
      </c>
      <c r="B127" t="s">
        <v>465</v>
      </c>
      <c r="C127" t="s">
        <v>1914</v>
      </c>
      <c r="D127" t="s">
        <v>219</v>
      </c>
      <c r="E127">
        <v>1342</v>
      </c>
      <c r="F127" t="s">
        <v>817</v>
      </c>
      <c r="G127">
        <v>12</v>
      </c>
      <c r="H127">
        <v>0</v>
      </c>
      <c r="I127">
        <v>0</v>
      </c>
      <c r="J127">
        <v>0</v>
      </c>
      <c r="K127">
        <v>0</v>
      </c>
      <c r="L127">
        <v>0</v>
      </c>
      <c r="M127">
        <v>3</v>
      </c>
      <c r="N127">
        <v>0</v>
      </c>
      <c r="O127">
        <v>0</v>
      </c>
      <c r="P127" s="5">
        <f t="shared" si="3"/>
        <v>14.625</v>
      </c>
      <c r="Q127">
        <v>0</v>
      </c>
      <c r="R127">
        <v>0</v>
      </c>
      <c r="S127">
        <v>0</v>
      </c>
      <c r="T127">
        <v>3</v>
      </c>
      <c r="U127">
        <v>0</v>
      </c>
      <c r="V127">
        <v>0</v>
      </c>
      <c r="W127">
        <v>0</v>
      </c>
      <c r="X127" s="5">
        <f t="shared" si="4"/>
        <v>14.625</v>
      </c>
      <c r="Y127">
        <v>0</v>
      </c>
      <c r="Z127">
        <v>0</v>
      </c>
      <c r="AA127">
        <v>0</v>
      </c>
      <c r="AB127">
        <v>0</v>
      </c>
      <c r="AC127">
        <v>0</v>
      </c>
      <c r="AD127">
        <v>0</v>
      </c>
      <c r="AE127">
        <v>0</v>
      </c>
      <c r="AF127" s="11">
        <f t="shared" si="5"/>
        <v>0</v>
      </c>
      <c r="AG127">
        <v>0</v>
      </c>
      <c r="AH127">
        <v>0</v>
      </c>
      <c r="AI127" t="s">
        <v>1936</v>
      </c>
      <c r="AJ127" t="s">
        <v>1937</v>
      </c>
    </row>
    <row r="128" spans="1:37" x14ac:dyDescent="0.25">
      <c r="A128">
        <v>1361</v>
      </c>
      <c r="B128" t="s">
        <v>465</v>
      </c>
      <c r="C128" t="s">
        <v>1914</v>
      </c>
      <c r="D128" t="s">
        <v>219</v>
      </c>
      <c r="E128">
        <v>1342</v>
      </c>
      <c r="F128" t="s">
        <v>817</v>
      </c>
      <c r="G128">
        <v>12</v>
      </c>
      <c r="H128">
        <v>0</v>
      </c>
      <c r="I128">
        <v>0</v>
      </c>
      <c r="J128">
        <v>0</v>
      </c>
      <c r="K128">
        <v>0</v>
      </c>
      <c r="L128">
        <v>0</v>
      </c>
      <c r="M128">
        <v>0</v>
      </c>
      <c r="N128">
        <v>0</v>
      </c>
      <c r="O128">
        <v>0</v>
      </c>
      <c r="P128" s="5">
        <f t="shared" si="3"/>
        <v>0</v>
      </c>
      <c r="Q128">
        <v>0</v>
      </c>
      <c r="R128">
        <v>0</v>
      </c>
      <c r="S128">
        <v>0</v>
      </c>
      <c r="T128">
        <v>0</v>
      </c>
      <c r="U128">
        <v>0</v>
      </c>
      <c r="V128">
        <v>0</v>
      </c>
      <c r="W128">
        <v>0</v>
      </c>
      <c r="X128" s="5">
        <f t="shared" si="4"/>
        <v>0</v>
      </c>
      <c r="Y128">
        <v>0</v>
      </c>
      <c r="Z128">
        <v>0</v>
      </c>
      <c r="AA128">
        <v>0</v>
      </c>
      <c r="AB128">
        <v>0</v>
      </c>
      <c r="AC128">
        <v>0</v>
      </c>
      <c r="AD128">
        <v>3</v>
      </c>
      <c r="AE128">
        <v>0</v>
      </c>
      <c r="AF128" s="11">
        <f t="shared" si="5"/>
        <v>0.125</v>
      </c>
      <c r="AG128">
        <v>0</v>
      </c>
      <c r="AH128">
        <v>0</v>
      </c>
      <c r="AI128" t="s">
        <v>1202</v>
      </c>
    </row>
    <row r="129" spans="1:37" x14ac:dyDescent="0.25">
      <c r="A129">
        <v>1361</v>
      </c>
      <c r="B129" t="s">
        <v>465</v>
      </c>
      <c r="C129" t="s">
        <v>1914</v>
      </c>
      <c r="D129" t="s">
        <v>219</v>
      </c>
      <c r="E129">
        <v>1342</v>
      </c>
      <c r="F129" t="s">
        <v>817</v>
      </c>
      <c r="G129">
        <v>12</v>
      </c>
      <c r="H129">
        <v>0</v>
      </c>
      <c r="I129">
        <v>0</v>
      </c>
      <c r="J129">
        <v>0</v>
      </c>
      <c r="K129">
        <v>0</v>
      </c>
      <c r="L129">
        <v>0</v>
      </c>
      <c r="M129">
        <v>0</v>
      </c>
      <c r="N129">
        <v>0</v>
      </c>
      <c r="O129">
        <v>0</v>
      </c>
      <c r="P129" s="5">
        <f t="shared" si="3"/>
        <v>0</v>
      </c>
      <c r="Q129">
        <v>0</v>
      </c>
      <c r="R129">
        <v>0</v>
      </c>
      <c r="S129">
        <v>0</v>
      </c>
      <c r="T129">
        <v>0</v>
      </c>
      <c r="U129">
        <v>0</v>
      </c>
      <c r="V129">
        <v>0</v>
      </c>
      <c r="W129">
        <v>0</v>
      </c>
      <c r="X129" s="5">
        <f t="shared" si="4"/>
        <v>0</v>
      </c>
      <c r="Y129">
        <v>0</v>
      </c>
      <c r="Z129">
        <v>0</v>
      </c>
      <c r="AA129">
        <v>0</v>
      </c>
      <c r="AB129">
        <f>2+6/12</f>
        <v>2.5</v>
      </c>
      <c r="AC129">
        <v>0</v>
      </c>
      <c r="AD129">
        <v>0</v>
      </c>
      <c r="AE129">
        <v>0</v>
      </c>
      <c r="AF129" s="11">
        <f t="shared" si="5"/>
        <v>2.5</v>
      </c>
      <c r="AG129">
        <v>0</v>
      </c>
      <c r="AH129">
        <v>0</v>
      </c>
      <c r="AI129" t="s">
        <v>417</v>
      </c>
      <c r="AJ129" t="s">
        <v>1944</v>
      </c>
    </row>
    <row r="130" spans="1:37" x14ac:dyDescent="0.25">
      <c r="A130">
        <v>1361</v>
      </c>
      <c r="B130" t="s">
        <v>465</v>
      </c>
      <c r="C130" t="s">
        <v>1914</v>
      </c>
      <c r="D130" t="s">
        <v>219</v>
      </c>
      <c r="E130">
        <v>1342</v>
      </c>
      <c r="F130" t="s">
        <v>817</v>
      </c>
      <c r="G130">
        <v>12</v>
      </c>
      <c r="H130">
        <v>0</v>
      </c>
      <c r="I130">
        <v>0</v>
      </c>
      <c r="J130">
        <v>0</v>
      </c>
      <c r="K130">
        <v>0</v>
      </c>
      <c r="L130">
        <v>0</v>
      </c>
      <c r="M130">
        <v>0</v>
      </c>
      <c r="N130">
        <v>0</v>
      </c>
      <c r="O130">
        <v>0</v>
      </c>
      <c r="P130" s="5">
        <f t="shared" si="3"/>
        <v>0</v>
      </c>
      <c r="Q130">
        <v>0</v>
      </c>
      <c r="R130">
        <v>0</v>
      </c>
      <c r="S130">
        <v>0</v>
      </c>
      <c r="T130">
        <v>0</v>
      </c>
      <c r="U130">
        <v>0</v>
      </c>
      <c r="V130">
        <v>0</v>
      </c>
      <c r="W130">
        <v>0</v>
      </c>
      <c r="X130" s="5">
        <f t="shared" si="4"/>
        <v>0</v>
      </c>
      <c r="Y130">
        <v>0</v>
      </c>
      <c r="Z130">
        <v>0</v>
      </c>
      <c r="AA130">
        <v>0</v>
      </c>
      <c r="AB130">
        <f>12/12</f>
        <v>1</v>
      </c>
      <c r="AC130">
        <v>0</v>
      </c>
      <c r="AD130">
        <v>0</v>
      </c>
      <c r="AE130">
        <v>0</v>
      </c>
      <c r="AF130" s="11">
        <f t="shared" si="5"/>
        <v>1</v>
      </c>
      <c r="AG130">
        <v>0</v>
      </c>
      <c r="AH130">
        <v>0</v>
      </c>
      <c r="AI130" t="s">
        <v>398</v>
      </c>
    </row>
    <row r="131" spans="1:37" x14ac:dyDescent="0.25">
      <c r="A131">
        <v>1361</v>
      </c>
      <c r="B131" t="s">
        <v>465</v>
      </c>
      <c r="C131" t="s">
        <v>1914</v>
      </c>
      <c r="D131" t="s">
        <v>219</v>
      </c>
      <c r="E131">
        <v>1342</v>
      </c>
      <c r="F131" t="s">
        <v>817</v>
      </c>
      <c r="G131">
        <v>12</v>
      </c>
      <c r="H131">
        <v>0</v>
      </c>
      <c r="I131">
        <v>0</v>
      </c>
      <c r="J131">
        <v>0</v>
      </c>
      <c r="K131">
        <v>0</v>
      </c>
      <c r="L131">
        <v>0</v>
      </c>
      <c r="M131">
        <v>0</v>
      </c>
      <c r="N131">
        <v>0</v>
      </c>
      <c r="O131">
        <v>0</v>
      </c>
      <c r="P131" s="5">
        <f t="shared" ref="P131:P194" si="6">(K131+L131/2+J131/4+M131/8+N131/16+O131/32)*39</f>
        <v>0</v>
      </c>
      <c r="Q131">
        <v>0</v>
      </c>
      <c r="R131">
        <v>0</v>
      </c>
      <c r="S131">
        <v>0</v>
      </c>
      <c r="T131">
        <v>0</v>
      </c>
      <c r="U131">
        <v>1</v>
      </c>
      <c r="V131">
        <v>0</v>
      </c>
      <c r="W131">
        <v>0</v>
      </c>
      <c r="X131" s="5">
        <f t="shared" ref="X131:X194" si="7">(R131+S131/2+V131/4+T131/8+U131/16+W131/32)*39</f>
        <v>2.4375</v>
      </c>
      <c r="Y131">
        <v>0</v>
      </c>
      <c r="Z131">
        <v>0</v>
      </c>
      <c r="AA131">
        <v>0</v>
      </c>
      <c r="AB131">
        <v>0</v>
      </c>
      <c r="AC131">
        <v>0</v>
      </c>
      <c r="AD131">
        <v>0</v>
      </c>
      <c r="AE131">
        <v>0</v>
      </c>
      <c r="AF131" s="11">
        <f t="shared" ref="AF131:AF194" si="8">AB131+AC131/48+AD131/24+AE131/48</f>
        <v>0</v>
      </c>
      <c r="AG131">
        <v>0</v>
      </c>
      <c r="AH131">
        <v>0</v>
      </c>
      <c r="AI131" t="s">
        <v>488</v>
      </c>
    </row>
    <row r="132" spans="1:37" x14ac:dyDescent="0.25">
      <c r="A132">
        <v>1361</v>
      </c>
      <c r="B132" t="s">
        <v>465</v>
      </c>
      <c r="C132" t="s">
        <v>1914</v>
      </c>
      <c r="D132" t="s">
        <v>219</v>
      </c>
      <c r="E132">
        <v>1342</v>
      </c>
      <c r="F132" t="s">
        <v>817</v>
      </c>
      <c r="G132">
        <v>12</v>
      </c>
      <c r="H132">
        <v>0</v>
      </c>
      <c r="I132">
        <v>0</v>
      </c>
      <c r="J132">
        <v>0</v>
      </c>
      <c r="K132">
        <v>0</v>
      </c>
      <c r="L132">
        <v>0</v>
      </c>
      <c r="M132">
        <v>0</v>
      </c>
      <c r="N132">
        <v>0</v>
      </c>
      <c r="O132">
        <v>0</v>
      </c>
      <c r="P132" s="5">
        <f t="shared" si="6"/>
        <v>0</v>
      </c>
      <c r="Q132">
        <v>0</v>
      </c>
      <c r="R132">
        <v>0</v>
      </c>
      <c r="S132">
        <v>0</v>
      </c>
      <c r="T132">
        <v>0</v>
      </c>
      <c r="U132">
        <v>0</v>
      </c>
      <c r="V132">
        <v>0</v>
      </c>
      <c r="W132">
        <v>0</v>
      </c>
      <c r="X132" s="5">
        <f t="shared" si="7"/>
        <v>0</v>
      </c>
      <c r="Y132">
        <v>0</v>
      </c>
      <c r="Z132">
        <v>0</v>
      </c>
      <c r="AA132">
        <v>0</v>
      </c>
      <c r="AB132">
        <f>12/12</f>
        <v>1</v>
      </c>
      <c r="AC132">
        <v>0</v>
      </c>
      <c r="AD132">
        <v>0</v>
      </c>
      <c r="AE132">
        <v>0</v>
      </c>
      <c r="AF132" s="11">
        <f t="shared" si="8"/>
        <v>1</v>
      </c>
      <c r="AG132">
        <v>0</v>
      </c>
      <c r="AH132">
        <v>0</v>
      </c>
      <c r="AI132" t="s">
        <v>398</v>
      </c>
    </row>
    <row r="133" spans="1:37" x14ac:dyDescent="0.25">
      <c r="A133">
        <v>1361</v>
      </c>
      <c r="B133" t="s">
        <v>465</v>
      </c>
      <c r="C133" t="s">
        <v>1914</v>
      </c>
      <c r="D133" t="s">
        <v>219</v>
      </c>
      <c r="E133">
        <v>1342</v>
      </c>
      <c r="F133" t="s">
        <v>817</v>
      </c>
      <c r="G133">
        <v>12</v>
      </c>
      <c r="H133">
        <v>0</v>
      </c>
      <c r="I133">
        <v>0</v>
      </c>
      <c r="J133">
        <v>0</v>
      </c>
      <c r="K133">
        <v>0</v>
      </c>
      <c r="L133">
        <v>0</v>
      </c>
      <c r="M133">
        <v>0</v>
      </c>
      <c r="N133">
        <v>0</v>
      </c>
      <c r="O133">
        <v>0</v>
      </c>
      <c r="P133" s="5">
        <f t="shared" si="6"/>
        <v>0</v>
      </c>
      <c r="Q133">
        <v>0</v>
      </c>
      <c r="R133">
        <v>0</v>
      </c>
      <c r="S133">
        <v>0</v>
      </c>
      <c r="T133">
        <v>0</v>
      </c>
      <c r="U133">
        <v>1</v>
      </c>
      <c r="V133">
        <v>0</v>
      </c>
      <c r="W133">
        <v>0</v>
      </c>
      <c r="X133" s="5">
        <f t="shared" si="7"/>
        <v>2.4375</v>
      </c>
      <c r="Y133">
        <v>0</v>
      </c>
      <c r="Z133">
        <v>0</v>
      </c>
      <c r="AA133">
        <v>0</v>
      </c>
      <c r="AB133">
        <v>0</v>
      </c>
      <c r="AC133">
        <v>0</v>
      </c>
      <c r="AD133">
        <v>0</v>
      </c>
      <c r="AE133">
        <v>0</v>
      </c>
      <c r="AF133" s="11">
        <f t="shared" si="8"/>
        <v>0</v>
      </c>
      <c r="AG133">
        <v>0</v>
      </c>
      <c r="AH133">
        <v>0</v>
      </c>
      <c r="AI133" t="s">
        <v>488</v>
      </c>
    </row>
    <row r="134" spans="1:37" x14ac:dyDescent="0.25">
      <c r="A134">
        <v>1361</v>
      </c>
      <c r="B134" t="s">
        <v>465</v>
      </c>
      <c r="C134" t="s">
        <v>1914</v>
      </c>
      <c r="D134" t="s">
        <v>219</v>
      </c>
      <c r="E134">
        <v>1342</v>
      </c>
      <c r="F134" t="s">
        <v>817</v>
      </c>
      <c r="G134">
        <v>12</v>
      </c>
      <c r="H134">
        <v>0</v>
      </c>
      <c r="I134">
        <v>0</v>
      </c>
      <c r="J134">
        <v>0</v>
      </c>
      <c r="K134">
        <v>0</v>
      </c>
      <c r="L134">
        <v>0</v>
      </c>
      <c r="M134">
        <v>0</v>
      </c>
      <c r="N134">
        <v>0</v>
      </c>
      <c r="O134">
        <v>0</v>
      </c>
      <c r="P134" s="5">
        <f t="shared" si="6"/>
        <v>0</v>
      </c>
      <c r="Q134">
        <v>0</v>
      </c>
      <c r="R134">
        <v>0</v>
      </c>
      <c r="S134">
        <v>0</v>
      </c>
      <c r="T134">
        <v>0</v>
      </c>
      <c r="U134">
        <v>0</v>
      </c>
      <c r="V134">
        <v>0</v>
      </c>
      <c r="W134">
        <v>0</v>
      </c>
      <c r="X134" s="5">
        <f t="shared" si="7"/>
        <v>0</v>
      </c>
      <c r="Y134">
        <v>0</v>
      </c>
      <c r="Z134">
        <v>0</v>
      </c>
      <c r="AA134">
        <v>0</v>
      </c>
      <c r="AB134">
        <f>23/12</f>
        <v>1.9166666666666667</v>
      </c>
      <c r="AC134">
        <v>0</v>
      </c>
      <c r="AD134">
        <v>1</v>
      </c>
      <c r="AE134">
        <v>0</v>
      </c>
      <c r="AF134" s="11">
        <f t="shared" si="8"/>
        <v>1.9583333333333335</v>
      </c>
      <c r="AG134">
        <v>0</v>
      </c>
      <c r="AH134">
        <v>0</v>
      </c>
      <c r="AI134" t="s">
        <v>398</v>
      </c>
      <c r="AK134" t="s">
        <v>1961</v>
      </c>
    </row>
    <row r="135" spans="1:37" x14ac:dyDescent="0.25">
      <c r="A135">
        <v>1361</v>
      </c>
      <c r="B135" t="s">
        <v>465</v>
      </c>
      <c r="C135" t="s">
        <v>1914</v>
      </c>
      <c r="D135" t="s">
        <v>219</v>
      </c>
      <c r="E135">
        <v>1342</v>
      </c>
      <c r="F135" t="s">
        <v>817</v>
      </c>
      <c r="G135">
        <v>12</v>
      </c>
      <c r="H135">
        <v>0</v>
      </c>
      <c r="I135">
        <v>0</v>
      </c>
      <c r="J135">
        <v>0</v>
      </c>
      <c r="K135">
        <v>0</v>
      </c>
      <c r="L135">
        <v>0</v>
      </c>
      <c r="M135">
        <v>0</v>
      </c>
      <c r="N135">
        <v>0</v>
      </c>
      <c r="O135">
        <v>0</v>
      </c>
      <c r="P135" s="5">
        <f t="shared" si="6"/>
        <v>0</v>
      </c>
      <c r="Q135">
        <v>0</v>
      </c>
      <c r="R135">
        <v>0</v>
      </c>
      <c r="S135">
        <v>0</v>
      </c>
      <c r="T135">
        <v>0</v>
      </c>
      <c r="U135">
        <v>0</v>
      </c>
      <c r="V135">
        <v>0</v>
      </c>
      <c r="W135">
        <v>0</v>
      </c>
      <c r="X135" s="5">
        <f t="shared" si="7"/>
        <v>0</v>
      </c>
      <c r="Y135">
        <v>0</v>
      </c>
      <c r="Z135">
        <v>0</v>
      </c>
      <c r="AA135">
        <v>0</v>
      </c>
      <c r="AB135">
        <f>9/12</f>
        <v>0.75</v>
      </c>
      <c r="AC135">
        <v>0</v>
      </c>
      <c r="AD135">
        <v>1</v>
      </c>
      <c r="AE135">
        <v>0</v>
      </c>
      <c r="AF135" s="11">
        <f t="shared" si="8"/>
        <v>0.79166666666666663</v>
      </c>
      <c r="AG135">
        <v>0</v>
      </c>
      <c r="AH135">
        <v>0</v>
      </c>
      <c r="AI135" s="8" t="s">
        <v>398</v>
      </c>
      <c r="AK135" t="s">
        <v>1969</v>
      </c>
    </row>
    <row r="136" spans="1:37" x14ac:dyDescent="0.25">
      <c r="A136">
        <v>1361</v>
      </c>
      <c r="B136" t="s">
        <v>465</v>
      </c>
      <c r="C136" t="s">
        <v>1914</v>
      </c>
      <c r="D136" t="s">
        <v>219</v>
      </c>
      <c r="E136">
        <v>1342</v>
      </c>
      <c r="F136" t="s">
        <v>817</v>
      </c>
      <c r="G136">
        <v>12</v>
      </c>
      <c r="H136">
        <v>0</v>
      </c>
      <c r="I136">
        <v>0</v>
      </c>
      <c r="J136">
        <v>0</v>
      </c>
      <c r="K136">
        <v>0</v>
      </c>
      <c r="L136">
        <v>0</v>
      </c>
      <c r="M136">
        <v>0</v>
      </c>
      <c r="N136">
        <v>1</v>
      </c>
      <c r="O136">
        <v>0</v>
      </c>
      <c r="P136" s="5">
        <f t="shared" si="6"/>
        <v>2.4375</v>
      </c>
      <c r="Q136">
        <v>0</v>
      </c>
      <c r="R136">
        <v>0</v>
      </c>
      <c r="S136">
        <v>0</v>
      </c>
      <c r="T136">
        <v>0</v>
      </c>
      <c r="U136">
        <v>1</v>
      </c>
      <c r="V136">
        <v>0</v>
      </c>
      <c r="W136">
        <v>0</v>
      </c>
      <c r="X136" s="5">
        <f t="shared" si="7"/>
        <v>2.4375</v>
      </c>
      <c r="Y136">
        <v>0</v>
      </c>
      <c r="Z136">
        <v>0</v>
      </c>
      <c r="AA136">
        <v>0</v>
      </c>
      <c r="AB136">
        <v>0</v>
      </c>
      <c r="AC136">
        <v>0</v>
      </c>
      <c r="AD136">
        <v>0</v>
      </c>
      <c r="AE136">
        <v>0</v>
      </c>
      <c r="AF136" s="11">
        <f t="shared" si="8"/>
        <v>0</v>
      </c>
      <c r="AG136">
        <v>0</v>
      </c>
      <c r="AH136">
        <v>0</v>
      </c>
      <c r="AI136" t="s">
        <v>417</v>
      </c>
    </row>
    <row r="137" spans="1:37" x14ac:dyDescent="0.25">
      <c r="A137">
        <v>1381</v>
      </c>
      <c r="B137" t="s">
        <v>23</v>
      </c>
      <c r="C137" t="s">
        <v>2018</v>
      </c>
      <c r="D137" t="s">
        <v>219</v>
      </c>
      <c r="E137">
        <v>1343</v>
      </c>
      <c r="F137" t="s">
        <v>1038</v>
      </c>
      <c r="G137">
        <v>26</v>
      </c>
      <c r="H137">
        <f>1/3</f>
        <v>0.33333333333333331</v>
      </c>
      <c r="I137">
        <v>0</v>
      </c>
      <c r="J137">
        <v>0</v>
      </c>
      <c r="K137">
        <v>0</v>
      </c>
      <c r="L137">
        <v>0</v>
      </c>
      <c r="M137">
        <v>0</v>
      </c>
      <c r="N137">
        <v>0</v>
      </c>
      <c r="O137">
        <v>0</v>
      </c>
      <c r="P137" s="5">
        <f t="shared" si="6"/>
        <v>0</v>
      </c>
      <c r="Q137">
        <v>0</v>
      </c>
      <c r="R137">
        <v>0</v>
      </c>
      <c r="S137">
        <v>0</v>
      </c>
      <c r="T137">
        <v>0</v>
      </c>
      <c r="U137">
        <v>0</v>
      </c>
      <c r="V137">
        <v>0</v>
      </c>
      <c r="W137">
        <v>0</v>
      </c>
      <c r="X137" s="5">
        <f t="shared" si="7"/>
        <v>0</v>
      </c>
      <c r="Y137">
        <v>0</v>
      </c>
      <c r="Z137">
        <v>0</v>
      </c>
      <c r="AA137">
        <v>0</v>
      </c>
      <c r="AB137">
        <v>0</v>
      </c>
      <c r="AC137">
        <v>0</v>
      </c>
      <c r="AD137">
        <v>0</v>
      </c>
      <c r="AE137">
        <v>0</v>
      </c>
      <c r="AF137" s="11">
        <f t="shared" si="8"/>
        <v>0</v>
      </c>
      <c r="AG137">
        <v>0</v>
      </c>
      <c r="AH137">
        <v>0</v>
      </c>
      <c r="AI137" t="s">
        <v>764</v>
      </c>
      <c r="AK137" t="s">
        <v>2016</v>
      </c>
    </row>
    <row r="138" spans="1:37" x14ac:dyDescent="0.25">
      <c r="A138">
        <v>1381</v>
      </c>
      <c r="B138" t="s">
        <v>23</v>
      </c>
      <c r="C138" t="s">
        <v>2018</v>
      </c>
      <c r="D138" t="s">
        <v>219</v>
      </c>
      <c r="E138">
        <v>1343</v>
      </c>
      <c r="F138" t="s">
        <v>1038</v>
      </c>
      <c r="G138">
        <v>26</v>
      </c>
      <c r="H138">
        <v>0</v>
      </c>
      <c r="I138">
        <v>0</v>
      </c>
      <c r="J138">
        <v>0</v>
      </c>
      <c r="K138">
        <v>0</v>
      </c>
      <c r="L138">
        <v>0</v>
      </c>
      <c r="M138">
        <v>0</v>
      </c>
      <c r="N138">
        <v>0</v>
      </c>
      <c r="O138">
        <v>0</v>
      </c>
      <c r="P138" s="5">
        <f t="shared" si="6"/>
        <v>0</v>
      </c>
      <c r="Q138">
        <v>0</v>
      </c>
      <c r="R138">
        <v>0</v>
      </c>
      <c r="S138">
        <v>0</v>
      </c>
      <c r="T138">
        <v>0</v>
      </c>
      <c r="U138">
        <v>0</v>
      </c>
      <c r="V138">
        <v>0</v>
      </c>
      <c r="W138">
        <v>0</v>
      </c>
      <c r="X138" s="5">
        <f t="shared" si="7"/>
        <v>0</v>
      </c>
      <c r="Y138">
        <v>0</v>
      </c>
      <c r="Z138">
        <v>0</v>
      </c>
      <c r="AA138">
        <v>0</v>
      </c>
      <c r="AB138">
        <f>2+3/12</f>
        <v>2.25</v>
      </c>
      <c r="AC138">
        <v>0</v>
      </c>
      <c r="AD138">
        <v>0</v>
      </c>
      <c r="AE138">
        <v>0</v>
      </c>
      <c r="AF138" s="11">
        <f t="shared" si="8"/>
        <v>2.25</v>
      </c>
      <c r="AG138">
        <v>0</v>
      </c>
      <c r="AH138">
        <v>0</v>
      </c>
      <c r="AI138" t="s">
        <v>2029</v>
      </c>
    </row>
    <row r="139" spans="1:37" x14ac:dyDescent="0.25">
      <c r="A139">
        <v>1383</v>
      </c>
      <c r="B139" t="s">
        <v>2060</v>
      </c>
      <c r="C139" t="s">
        <v>2070</v>
      </c>
      <c r="D139" t="s">
        <v>219</v>
      </c>
      <c r="E139">
        <v>1342</v>
      </c>
      <c r="F139" t="s">
        <v>973</v>
      </c>
      <c r="G139">
        <v>15</v>
      </c>
      <c r="H139">
        <v>0</v>
      </c>
      <c r="I139">
        <v>0</v>
      </c>
      <c r="J139">
        <v>0</v>
      </c>
      <c r="K139">
        <v>0</v>
      </c>
      <c r="L139">
        <v>0</v>
      </c>
      <c r="M139">
        <v>0</v>
      </c>
      <c r="N139">
        <v>0</v>
      </c>
      <c r="O139">
        <v>0</v>
      </c>
      <c r="P139" s="5">
        <f t="shared" si="6"/>
        <v>0</v>
      </c>
      <c r="Q139">
        <v>0</v>
      </c>
      <c r="R139">
        <v>0</v>
      </c>
      <c r="S139">
        <v>0</v>
      </c>
      <c r="T139">
        <v>0</v>
      </c>
      <c r="U139">
        <v>0</v>
      </c>
      <c r="V139">
        <v>0</v>
      </c>
      <c r="W139">
        <v>0</v>
      </c>
      <c r="X139" s="5">
        <f t="shared" si="7"/>
        <v>0</v>
      </c>
      <c r="Y139">
        <v>0</v>
      </c>
      <c r="Z139">
        <v>0</v>
      </c>
      <c r="AA139">
        <v>0</v>
      </c>
      <c r="AB139">
        <f>12/12</f>
        <v>1</v>
      </c>
      <c r="AC139">
        <v>0</v>
      </c>
      <c r="AD139">
        <v>0</v>
      </c>
      <c r="AE139">
        <v>0</v>
      </c>
      <c r="AF139" s="11">
        <f t="shared" si="8"/>
        <v>1</v>
      </c>
      <c r="AG139">
        <v>0</v>
      </c>
      <c r="AH139">
        <v>0</v>
      </c>
      <c r="AI139" t="s">
        <v>1123</v>
      </c>
    </row>
    <row r="140" spans="1:37" x14ac:dyDescent="0.25">
      <c r="A140">
        <v>1392</v>
      </c>
      <c r="B140" t="s">
        <v>23</v>
      </c>
      <c r="C140" t="s">
        <v>2018</v>
      </c>
      <c r="D140" t="s">
        <v>219</v>
      </c>
      <c r="E140">
        <v>1343</v>
      </c>
      <c r="F140" t="s">
        <v>973</v>
      </c>
      <c r="G140">
        <v>22</v>
      </c>
      <c r="H140">
        <v>1</v>
      </c>
      <c r="I140">
        <v>0</v>
      </c>
      <c r="J140">
        <v>0</v>
      </c>
      <c r="K140">
        <v>0</v>
      </c>
      <c r="L140">
        <v>0</v>
      </c>
      <c r="M140">
        <v>0</v>
      </c>
      <c r="N140">
        <v>0</v>
      </c>
      <c r="O140">
        <v>0</v>
      </c>
      <c r="P140" s="5">
        <f t="shared" si="6"/>
        <v>0</v>
      </c>
      <c r="Q140">
        <v>0</v>
      </c>
      <c r="R140">
        <v>0</v>
      </c>
      <c r="S140">
        <v>0</v>
      </c>
      <c r="T140">
        <v>0</v>
      </c>
      <c r="U140">
        <v>0</v>
      </c>
      <c r="V140">
        <v>0</v>
      </c>
      <c r="W140">
        <v>0</v>
      </c>
      <c r="X140" s="5">
        <f t="shared" si="7"/>
        <v>0</v>
      </c>
      <c r="Y140">
        <v>0</v>
      </c>
      <c r="Z140">
        <v>0</v>
      </c>
      <c r="AA140">
        <v>0</v>
      </c>
      <c r="AB140">
        <v>0</v>
      </c>
      <c r="AC140">
        <v>0</v>
      </c>
      <c r="AD140">
        <v>0</v>
      </c>
      <c r="AE140">
        <v>0</v>
      </c>
      <c r="AF140" s="11">
        <f t="shared" si="8"/>
        <v>0</v>
      </c>
      <c r="AG140">
        <v>0</v>
      </c>
      <c r="AH140">
        <v>0</v>
      </c>
      <c r="AI140" t="s">
        <v>540</v>
      </c>
      <c r="AK140" t="s">
        <v>2150</v>
      </c>
    </row>
    <row r="141" spans="1:37" x14ac:dyDescent="0.25">
      <c r="A141">
        <v>1392</v>
      </c>
      <c r="B141" t="s">
        <v>23</v>
      </c>
      <c r="C141" t="s">
        <v>2018</v>
      </c>
      <c r="D141" t="s">
        <v>219</v>
      </c>
      <c r="E141">
        <v>1343</v>
      </c>
      <c r="F141" t="s">
        <v>973</v>
      </c>
      <c r="G141">
        <v>22</v>
      </c>
      <c r="H141">
        <v>0</v>
      </c>
      <c r="I141">
        <v>0</v>
      </c>
      <c r="J141">
        <v>0</v>
      </c>
      <c r="K141">
        <v>0</v>
      </c>
      <c r="L141">
        <v>0</v>
      </c>
      <c r="M141">
        <v>0</v>
      </c>
      <c r="N141">
        <v>0</v>
      </c>
      <c r="O141">
        <v>0</v>
      </c>
      <c r="P141" s="5">
        <f t="shared" si="6"/>
        <v>0</v>
      </c>
      <c r="Q141">
        <v>0</v>
      </c>
      <c r="R141">
        <v>0</v>
      </c>
      <c r="S141">
        <v>0</v>
      </c>
      <c r="T141">
        <v>0</v>
      </c>
      <c r="U141">
        <v>0</v>
      </c>
      <c r="V141">
        <v>0</v>
      </c>
      <c r="W141">
        <v>0</v>
      </c>
      <c r="X141" s="5">
        <f t="shared" si="7"/>
        <v>0</v>
      </c>
      <c r="Y141">
        <v>0</v>
      </c>
      <c r="Z141">
        <v>0</v>
      </c>
      <c r="AA141">
        <v>0</v>
      </c>
      <c r="AB141">
        <f>7+4/12</f>
        <v>7.333333333333333</v>
      </c>
      <c r="AC141">
        <v>0</v>
      </c>
      <c r="AD141">
        <v>0</v>
      </c>
      <c r="AE141">
        <v>0</v>
      </c>
      <c r="AF141" s="11">
        <f t="shared" si="8"/>
        <v>7.333333333333333</v>
      </c>
      <c r="AG141">
        <v>0</v>
      </c>
      <c r="AH141">
        <v>0</v>
      </c>
      <c r="AI141" t="s">
        <v>2029</v>
      </c>
    </row>
    <row r="142" spans="1:37" x14ac:dyDescent="0.25">
      <c r="A142">
        <v>1402</v>
      </c>
      <c r="B142" t="s">
        <v>3756</v>
      </c>
      <c r="C142" t="s">
        <v>2183</v>
      </c>
      <c r="D142" t="s">
        <v>219</v>
      </c>
      <c r="E142">
        <v>1342</v>
      </c>
      <c r="F142" t="s">
        <v>383</v>
      </c>
      <c r="G142">
        <v>23</v>
      </c>
      <c r="H142">
        <v>0</v>
      </c>
      <c r="I142">
        <v>0</v>
      </c>
      <c r="J142">
        <v>0</v>
      </c>
      <c r="K142">
        <v>0</v>
      </c>
      <c r="L142">
        <v>0</v>
      </c>
      <c r="M142">
        <v>0</v>
      </c>
      <c r="N142">
        <v>0</v>
      </c>
      <c r="O142">
        <v>0</v>
      </c>
      <c r="P142" s="5">
        <f t="shared" si="6"/>
        <v>0</v>
      </c>
      <c r="Q142">
        <v>0</v>
      </c>
      <c r="R142">
        <v>0</v>
      </c>
      <c r="S142">
        <v>0</v>
      </c>
      <c r="T142">
        <v>0</v>
      </c>
      <c r="U142">
        <v>0</v>
      </c>
      <c r="V142">
        <v>0</v>
      </c>
      <c r="W142">
        <v>0</v>
      </c>
      <c r="X142" s="5">
        <f t="shared" si="7"/>
        <v>0</v>
      </c>
      <c r="Y142">
        <v>0</v>
      </c>
      <c r="Z142">
        <v>0</v>
      </c>
      <c r="AA142">
        <v>0</v>
      </c>
      <c r="AB142">
        <f>18/12</f>
        <v>1.5</v>
      </c>
      <c r="AC142">
        <v>0</v>
      </c>
      <c r="AD142">
        <v>0</v>
      </c>
      <c r="AE142">
        <v>0</v>
      </c>
      <c r="AF142" s="11">
        <f t="shared" si="8"/>
        <v>1.5</v>
      </c>
      <c r="AG142">
        <v>0</v>
      </c>
      <c r="AH142">
        <v>0</v>
      </c>
      <c r="AI142" t="s">
        <v>2193</v>
      </c>
    </row>
    <row r="143" spans="1:37" x14ac:dyDescent="0.25">
      <c r="A143">
        <v>1411</v>
      </c>
      <c r="B143" t="s">
        <v>19</v>
      </c>
      <c r="C143" t="s">
        <v>2203</v>
      </c>
      <c r="D143" t="s">
        <v>219</v>
      </c>
      <c r="E143">
        <v>1342</v>
      </c>
      <c r="F143" t="s">
        <v>817</v>
      </c>
      <c r="G143">
        <v>12</v>
      </c>
      <c r="H143">
        <v>0</v>
      </c>
      <c r="I143">
        <v>0</v>
      </c>
      <c r="J143">
        <v>0</v>
      </c>
      <c r="K143">
        <v>0</v>
      </c>
      <c r="L143">
        <v>0</v>
      </c>
      <c r="M143">
        <v>0</v>
      </c>
      <c r="N143">
        <v>0</v>
      </c>
      <c r="O143">
        <v>0</v>
      </c>
      <c r="P143" s="5">
        <f t="shared" si="6"/>
        <v>0</v>
      </c>
      <c r="Q143">
        <v>0</v>
      </c>
      <c r="R143">
        <v>0</v>
      </c>
      <c r="S143">
        <v>0</v>
      </c>
      <c r="T143">
        <v>0</v>
      </c>
      <c r="U143">
        <v>0</v>
      </c>
      <c r="V143">
        <v>1</v>
      </c>
      <c r="W143">
        <v>0</v>
      </c>
      <c r="X143" s="5">
        <f t="shared" si="7"/>
        <v>9.75</v>
      </c>
      <c r="Y143">
        <v>0</v>
      </c>
      <c r="Z143">
        <v>0</v>
      </c>
      <c r="AA143">
        <v>0</v>
      </c>
      <c r="AB143">
        <v>0</v>
      </c>
      <c r="AC143">
        <v>0</v>
      </c>
      <c r="AD143">
        <v>0</v>
      </c>
      <c r="AE143">
        <v>0</v>
      </c>
      <c r="AF143" s="11">
        <f t="shared" si="8"/>
        <v>0</v>
      </c>
      <c r="AG143">
        <v>0</v>
      </c>
      <c r="AH143">
        <v>0</v>
      </c>
      <c r="AI143" t="s">
        <v>1932</v>
      </c>
    </row>
    <row r="144" spans="1:37" x14ac:dyDescent="0.25">
      <c r="A144">
        <v>1411</v>
      </c>
      <c r="B144" t="s">
        <v>19</v>
      </c>
      <c r="C144" t="s">
        <v>2203</v>
      </c>
      <c r="D144" t="s">
        <v>219</v>
      </c>
      <c r="E144">
        <v>1342</v>
      </c>
      <c r="F144" t="s">
        <v>817</v>
      </c>
      <c r="G144">
        <v>12</v>
      </c>
      <c r="H144">
        <v>0</v>
      </c>
      <c r="I144">
        <v>0</v>
      </c>
      <c r="J144">
        <v>0</v>
      </c>
      <c r="K144">
        <v>0</v>
      </c>
      <c r="L144">
        <v>0</v>
      </c>
      <c r="M144">
        <v>0</v>
      </c>
      <c r="N144">
        <v>0</v>
      </c>
      <c r="O144">
        <v>0</v>
      </c>
      <c r="P144" s="5">
        <f t="shared" si="6"/>
        <v>0</v>
      </c>
      <c r="Q144">
        <v>0</v>
      </c>
      <c r="R144">
        <v>0</v>
      </c>
      <c r="S144">
        <v>0</v>
      </c>
      <c r="T144">
        <v>0</v>
      </c>
      <c r="U144">
        <v>0</v>
      </c>
      <c r="V144">
        <v>0</v>
      </c>
      <c r="W144">
        <v>0</v>
      </c>
      <c r="X144" s="5">
        <f t="shared" si="7"/>
        <v>0</v>
      </c>
      <c r="Y144">
        <v>0</v>
      </c>
      <c r="Z144">
        <v>0</v>
      </c>
      <c r="AA144">
        <v>0</v>
      </c>
      <c r="AB144">
        <f>45+9/12</f>
        <v>45.75</v>
      </c>
      <c r="AC144">
        <v>0</v>
      </c>
      <c r="AD144">
        <v>0</v>
      </c>
      <c r="AE144">
        <v>0</v>
      </c>
      <c r="AF144" s="11">
        <f t="shared" si="8"/>
        <v>45.75</v>
      </c>
      <c r="AG144">
        <v>0</v>
      </c>
      <c r="AH144">
        <v>0</v>
      </c>
      <c r="AI144" t="s">
        <v>206</v>
      </c>
      <c r="AJ144" t="s">
        <v>2218</v>
      </c>
    </row>
    <row r="145" spans="1:37" x14ac:dyDescent="0.25">
      <c r="A145">
        <v>1411</v>
      </c>
      <c r="B145" t="s">
        <v>19</v>
      </c>
      <c r="C145" t="s">
        <v>2203</v>
      </c>
      <c r="D145" t="s">
        <v>219</v>
      </c>
      <c r="E145">
        <v>1342</v>
      </c>
      <c r="F145" t="s">
        <v>817</v>
      </c>
      <c r="G145">
        <v>12</v>
      </c>
      <c r="H145">
        <v>0</v>
      </c>
      <c r="I145">
        <v>0</v>
      </c>
      <c r="J145">
        <v>0</v>
      </c>
      <c r="K145">
        <v>0</v>
      </c>
      <c r="L145">
        <v>0</v>
      </c>
      <c r="M145">
        <v>0</v>
      </c>
      <c r="N145">
        <v>0</v>
      </c>
      <c r="O145">
        <v>0</v>
      </c>
      <c r="P145" s="5">
        <f t="shared" si="6"/>
        <v>0</v>
      </c>
      <c r="Q145">
        <v>0</v>
      </c>
      <c r="R145">
        <v>0</v>
      </c>
      <c r="S145">
        <v>0</v>
      </c>
      <c r="T145">
        <v>0</v>
      </c>
      <c r="U145">
        <v>3</v>
      </c>
      <c r="V145">
        <v>0</v>
      </c>
      <c r="W145">
        <v>1</v>
      </c>
      <c r="X145" s="5">
        <f t="shared" si="7"/>
        <v>8.53125</v>
      </c>
      <c r="Y145">
        <v>0</v>
      </c>
      <c r="Z145">
        <v>0</v>
      </c>
      <c r="AA145">
        <v>0</v>
      </c>
      <c r="AB145">
        <v>0</v>
      </c>
      <c r="AC145">
        <v>0</v>
      </c>
      <c r="AD145">
        <v>0</v>
      </c>
      <c r="AE145">
        <v>0</v>
      </c>
      <c r="AF145" s="11">
        <f t="shared" si="8"/>
        <v>0</v>
      </c>
      <c r="AG145">
        <v>0</v>
      </c>
      <c r="AH145">
        <v>0</v>
      </c>
      <c r="AI145" t="s">
        <v>417</v>
      </c>
    </row>
    <row r="146" spans="1:37" x14ac:dyDescent="0.25">
      <c r="A146">
        <v>1411</v>
      </c>
      <c r="B146" t="s">
        <v>19</v>
      </c>
      <c r="C146" t="s">
        <v>2203</v>
      </c>
      <c r="D146" t="s">
        <v>219</v>
      </c>
      <c r="E146">
        <v>1342</v>
      </c>
      <c r="F146" t="s">
        <v>817</v>
      </c>
      <c r="G146">
        <v>12</v>
      </c>
      <c r="H146">
        <v>0</v>
      </c>
      <c r="I146">
        <v>0</v>
      </c>
      <c r="J146">
        <v>0</v>
      </c>
      <c r="K146">
        <v>0</v>
      </c>
      <c r="L146">
        <v>0</v>
      </c>
      <c r="M146">
        <v>0</v>
      </c>
      <c r="N146">
        <v>0</v>
      </c>
      <c r="O146">
        <v>0</v>
      </c>
      <c r="P146" s="5">
        <f t="shared" si="6"/>
        <v>0</v>
      </c>
      <c r="Q146">
        <v>0</v>
      </c>
      <c r="R146">
        <v>0</v>
      </c>
      <c r="S146">
        <v>0</v>
      </c>
      <c r="T146">
        <v>0</v>
      </c>
      <c r="U146">
        <v>3</v>
      </c>
      <c r="V146">
        <v>0</v>
      </c>
      <c r="W146">
        <v>1</v>
      </c>
      <c r="X146" s="5">
        <f t="shared" si="7"/>
        <v>8.53125</v>
      </c>
      <c r="Y146">
        <v>0</v>
      </c>
      <c r="Z146">
        <v>0</v>
      </c>
      <c r="AA146">
        <v>0</v>
      </c>
      <c r="AB146">
        <v>0</v>
      </c>
      <c r="AC146">
        <v>0</v>
      </c>
      <c r="AD146">
        <v>0</v>
      </c>
      <c r="AE146">
        <v>0</v>
      </c>
      <c r="AF146" s="11">
        <f t="shared" si="8"/>
        <v>0</v>
      </c>
      <c r="AG146">
        <v>0</v>
      </c>
      <c r="AH146">
        <v>0</v>
      </c>
      <c r="AI146" t="s">
        <v>155</v>
      </c>
    </row>
    <row r="147" spans="1:37" x14ac:dyDescent="0.25">
      <c r="A147">
        <v>1411</v>
      </c>
      <c r="B147" t="s">
        <v>19</v>
      </c>
      <c r="C147" t="s">
        <v>2203</v>
      </c>
      <c r="D147" t="s">
        <v>219</v>
      </c>
      <c r="E147">
        <v>1342</v>
      </c>
      <c r="F147" t="s">
        <v>817</v>
      </c>
      <c r="G147">
        <v>12</v>
      </c>
      <c r="H147">
        <v>0</v>
      </c>
      <c r="I147">
        <v>0</v>
      </c>
      <c r="J147">
        <v>0</v>
      </c>
      <c r="K147">
        <v>0</v>
      </c>
      <c r="L147">
        <v>0</v>
      </c>
      <c r="M147">
        <v>0</v>
      </c>
      <c r="N147">
        <v>0</v>
      </c>
      <c r="O147">
        <v>0</v>
      </c>
      <c r="P147" s="5">
        <f t="shared" si="6"/>
        <v>0</v>
      </c>
      <c r="Q147">
        <v>0</v>
      </c>
      <c r="R147">
        <v>0</v>
      </c>
      <c r="S147">
        <v>0</v>
      </c>
      <c r="T147">
        <v>0</v>
      </c>
      <c r="U147">
        <v>0</v>
      </c>
      <c r="V147">
        <v>0</v>
      </c>
      <c r="W147">
        <v>0</v>
      </c>
      <c r="X147" s="5">
        <f t="shared" si="7"/>
        <v>0</v>
      </c>
      <c r="Y147">
        <v>0</v>
      </c>
      <c r="Z147">
        <v>0</v>
      </c>
      <c r="AA147">
        <v>0</v>
      </c>
      <c r="AB147">
        <f>9.5/12</f>
        <v>0.79166666666666663</v>
      </c>
      <c r="AC147">
        <v>0</v>
      </c>
      <c r="AD147">
        <v>0</v>
      </c>
      <c r="AE147">
        <v>0</v>
      </c>
      <c r="AF147" s="11">
        <f t="shared" si="8"/>
        <v>0.79166666666666663</v>
      </c>
      <c r="AG147">
        <v>0</v>
      </c>
      <c r="AH147">
        <v>0</v>
      </c>
      <c r="AI147" t="s">
        <v>2225</v>
      </c>
    </row>
    <row r="148" spans="1:37" x14ac:dyDescent="0.25">
      <c r="A148">
        <v>1421</v>
      </c>
      <c r="B148" t="s">
        <v>2227</v>
      </c>
      <c r="C148" t="s">
        <v>33</v>
      </c>
      <c r="D148" t="s">
        <v>219</v>
      </c>
      <c r="E148">
        <v>1342</v>
      </c>
      <c r="F148" t="s">
        <v>817</v>
      </c>
      <c r="G148">
        <v>12</v>
      </c>
      <c r="H148">
        <v>1</v>
      </c>
      <c r="I148">
        <v>0</v>
      </c>
      <c r="J148">
        <v>0</v>
      </c>
      <c r="K148">
        <v>0</v>
      </c>
      <c r="L148">
        <v>0</v>
      </c>
      <c r="M148">
        <v>0</v>
      </c>
      <c r="N148">
        <v>0</v>
      </c>
      <c r="O148">
        <v>0</v>
      </c>
      <c r="P148" s="5">
        <f t="shared" si="6"/>
        <v>0</v>
      </c>
      <c r="Q148">
        <v>0</v>
      </c>
      <c r="R148">
        <v>0</v>
      </c>
      <c r="S148">
        <v>0</v>
      </c>
      <c r="T148">
        <v>0</v>
      </c>
      <c r="U148">
        <v>0</v>
      </c>
      <c r="V148">
        <v>0</v>
      </c>
      <c r="W148">
        <v>0</v>
      </c>
      <c r="X148" s="5">
        <f t="shared" si="7"/>
        <v>0</v>
      </c>
      <c r="Y148">
        <v>0</v>
      </c>
      <c r="Z148">
        <v>0</v>
      </c>
      <c r="AA148">
        <v>0</v>
      </c>
      <c r="AB148">
        <v>0</v>
      </c>
      <c r="AC148">
        <v>0</v>
      </c>
      <c r="AD148">
        <v>0</v>
      </c>
      <c r="AE148">
        <v>0</v>
      </c>
      <c r="AF148" s="11">
        <f t="shared" si="8"/>
        <v>0</v>
      </c>
      <c r="AG148">
        <v>0</v>
      </c>
      <c r="AH148">
        <v>0</v>
      </c>
      <c r="AI148" t="s">
        <v>389</v>
      </c>
      <c r="AK148" t="s">
        <v>2229</v>
      </c>
    </row>
    <row r="149" spans="1:37" x14ac:dyDescent="0.25">
      <c r="A149">
        <v>1421</v>
      </c>
      <c r="B149" t="s">
        <v>2227</v>
      </c>
      <c r="C149" t="s">
        <v>33</v>
      </c>
      <c r="D149" t="s">
        <v>219</v>
      </c>
      <c r="E149">
        <v>1342</v>
      </c>
      <c r="F149" t="s">
        <v>817</v>
      </c>
      <c r="G149">
        <v>12</v>
      </c>
      <c r="H149">
        <v>0</v>
      </c>
      <c r="I149">
        <v>0</v>
      </c>
      <c r="J149">
        <v>0</v>
      </c>
      <c r="K149">
        <v>0</v>
      </c>
      <c r="L149">
        <v>0</v>
      </c>
      <c r="M149">
        <v>0</v>
      </c>
      <c r="N149">
        <v>0</v>
      </c>
      <c r="O149">
        <v>0</v>
      </c>
      <c r="P149" s="5">
        <f t="shared" si="6"/>
        <v>0</v>
      </c>
      <c r="Q149">
        <v>0</v>
      </c>
      <c r="R149">
        <v>0</v>
      </c>
      <c r="S149">
        <v>0</v>
      </c>
      <c r="T149">
        <v>0</v>
      </c>
      <c r="U149">
        <f>1+1/3</f>
        <v>1.3333333333333333</v>
      </c>
      <c r="V149">
        <v>0</v>
      </c>
      <c r="W149">
        <v>0</v>
      </c>
      <c r="X149" s="5">
        <f t="shared" si="7"/>
        <v>3.25</v>
      </c>
      <c r="Y149">
        <v>0</v>
      </c>
      <c r="Z149">
        <v>0</v>
      </c>
      <c r="AA149">
        <v>0</v>
      </c>
      <c r="AB149">
        <v>0</v>
      </c>
      <c r="AC149">
        <v>0</v>
      </c>
      <c r="AD149">
        <v>0</v>
      </c>
      <c r="AE149">
        <v>0</v>
      </c>
      <c r="AF149" s="11">
        <f t="shared" si="8"/>
        <v>0</v>
      </c>
      <c r="AG149">
        <v>0</v>
      </c>
      <c r="AH149">
        <v>0</v>
      </c>
      <c r="AI149" t="s">
        <v>2237</v>
      </c>
      <c r="AJ149" t="s">
        <v>2238</v>
      </c>
    </row>
    <row r="150" spans="1:37" x14ac:dyDescent="0.25">
      <c r="A150">
        <v>1421</v>
      </c>
      <c r="B150" t="s">
        <v>2227</v>
      </c>
      <c r="C150" t="s">
        <v>33</v>
      </c>
      <c r="D150" t="s">
        <v>219</v>
      </c>
      <c r="E150">
        <v>1342</v>
      </c>
      <c r="F150" t="s">
        <v>817</v>
      </c>
      <c r="G150">
        <v>12</v>
      </c>
      <c r="H150">
        <v>0</v>
      </c>
      <c r="I150">
        <v>0</v>
      </c>
      <c r="J150">
        <v>0</v>
      </c>
      <c r="K150">
        <v>0</v>
      </c>
      <c r="L150">
        <v>0</v>
      </c>
      <c r="M150">
        <v>0</v>
      </c>
      <c r="N150">
        <v>0</v>
      </c>
      <c r="O150">
        <v>0</v>
      </c>
      <c r="P150" s="5">
        <f t="shared" si="6"/>
        <v>0</v>
      </c>
      <c r="Q150">
        <v>0</v>
      </c>
      <c r="R150">
        <v>0</v>
      </c>
      <c r="S150">
        <v>0</v>
      </c>
      <c r="T150">
        <v>0</v>
      </c>
      <c r="U150">
        <v>0</v>
      </c>
      <c r="V150">
        <v>0</v>
      </c>
      <c r="W150">
        <v>0</v>
      </c>
      <c r="X150" s="5">
        <f t="shared" si="7"/>
        <v>0</v>
      </c>
      <c r="Y150">
        <v>0</v>
      </c>
      <c r="Z150">
        <v>0</v>
      </c>
      <c r="AA150">
        <v>0</v>
      </c>
      <c r="AB150">
        <f>6/12</f>
        <v>0.5</v>
      </c>
      <c r="AC150">
        <v>0</v>
      </c>
      <c r="AD150">
        <v>0</v>
      </c>
      <c r="AE150">
        <v>0</v>
      </c>
      <c r="AF150" s="11">
        <f t="shared" si="8"/>
        <v>0.5</v>
      </c>
      <c r="AG150">
        <v>0</v>
      </c>
      <c r="AH150">
        <v>0</v>
      </c>
      <c r="AI150" t="s">
        <v>2242</v>
      </c>
    </row>
    <row r="151" spans="1:37" x14ac:dyDescent="0.25">
      <c r="A151">
        <v>1421</v>
      </c>
      <c r="B151" t="s">
        <v>2227</v>
      </c>
      <c r="C151" t="s">
        <v>33</v>
      </c>
      <c r="D151" t="s">
        <v>219</v>
      </c>
      <c r="E151">
        <v>1342</v>
      </c>
      <c r="F151" t="s">
        <v>817</v>
      </c>
      <c r="G151">
        <v>12</v>
      </c>
      <c r="H151">
        <v>0</v>
      </c>
      <c r="I151">
        <v>0</v>
      </c>
      <c r="J151">
        <v>0</v>
      </c>
      <c r="K151">
        <v>0</v>
      </c>
      <c r="L151">
        <v>0</v>
      </c>
      <c r="M151">
        <v>0</v>
      </c>
      <c r="N151">
        <v>0</v>
      </c>
      <c r="O151">
        <v>0</v>
      </c>
      <c r="P151" s="5">
        <f t="shared" si="6"/>
        <v>0</v>
      </c>
      <c r="Q151">
        <v>0</v>
      </c>
      <c r="R151">
        <v>0</v>
      </c>
      <c r="S151">
        <v>0</v>
      </c>
      <c r="T151">
        <v>0</v>
      </c>
      <c r="U151">
        <v>0</v>
      </c>
      <c r="V151">
        <v>0</v>
      </c>
      <c r="W151">
        <v>0</v>
      </c>
      <c r="X151" s="5">
        <f t="shared" si="7"/>
        <v>0</v>
      </c>
      <c r="Y151">
        <v>0</v>
      </c>
      <c r="Z151">
        <v>0</v>
      </c>
      <c r="AA151">
        <v>0</v>
      </c>
      <c r="AB151">
        <f>5+4/12</f>
        <v>5.333333333333333</v>
      </c>
      <c r="AC151">
        <v>0</v>
      </c>
      <c r="AD151">
        <v>0</v>
      </c>
      <c r="AE151">
        <v>0</v>
      </c>
      <c r="AF151" s="11">
        <f t="shared" si="8"/>
        <v>5.333333333333333</v>
      </c>
      <c r="AG151">
        <f>4/12</f>
        <v>0.33333333333333331</v>
      </c>
      <c r="AH151">
        <v>0</v>
      </c>
      <c r="AI151" t="s">
        <v>1930</v>
      </c>
    </row>
    <row r="152" spans="1:37" x14ac:dyDescent="0.25">
      <c r="A152">
        <v>1421</v>
      </c>
      <c r="B152" t="s">
        <v>2227</v>
      </c>
      <c r="C152" t="s">
        <v>33</v>
      </c>
      <c r="D152" t="s">
        <v>219</v>
      </c>
      <c r="E152">
        <v>1342</v>
      </c>
      <c r="F152" t="s">
        <v>817</v>
      </c>
      <c r="G152">
        <v>12</v>
      </c>
      <c r="H152">
        <v>0</v>
      </c>
      <c r="I152">
        <v>0</v>
      </c>
      <c r="J152">
        <v>0</v>
      </c>
      <c r="K152">
        <v>0</v>
      </c>
      <c r="L152">
        <v>0</v>
      </c>
      <c r="M152">
        <v>0</v>
      </c>
      <c r="N152">
        <v>0</v>
      </c>
      <c r="O152">
        <v>0</v>
      </c>
      <c r="P152" s="5">
        <f t="shared" si="6"/>
        <v>0</v>
      </c>
      <c r="Q152">
        <v>0</v>
      </c>
      <c r="R152">
        <v>0</v>
      </c>
      <c r="S152">
        <v>0</v>
      </c>
      <c r="T152">
        <f>1/2</f>
        <v>0.5</v>
      </c>
      <c r="U152">
        <f>1+1/5</f>
        <v>1.2</v>
      </c>
      <c r="V152">
        <v>0</v>
      </c>
      <c r="W152">
        <v>0</v>
      </c>
      <c r="X152" s="5">
        <f t="shared" si="7"/>
        <v>5.3625000000000007</v>
      </c>
      <c r="Y152">
        <v>0</v>
      </c>
      <c r="Z152">
        <v>0</v>
      </c>
      <c r="AA152">
        <v>0</v>
      </c>
      <c r="AB152">
        <v>0</v>
      </c>
      <c r="AC152">
        <v>0</v>
      </c>
      <c r="AD152">
        <v>0</v>
      </c>
      <c r="AE152">
        <v>0</v>
      </c>
      <c r="AF152" s="11">
        <f t="shared" si="8"/>
        <v>0</v>
      </c>
      <c r="AG152">
        <v>0</v>
      </c>
      <c r="AH152">
        <v>0</v>
      </c>
      <c r="AI152" t="s">
        <v>1900</v>
      </c>
      <c r="AJ152" t="s">
        <v>33</v>
      </c>
    </row>
    <row r="153" spans="1:37" x14ac:dyDescent="0.25">
      <c r="A153">
        <v>1432</v>
      </c>
      <c r="B153" t="s">
        <v>2264</v>
      </c>
      <c r="C153" t="s">
        <v>2266</v>
      </c>
      <c r="D153" t="s">
        <v>219</v>
      </c>
      <c r="E153">
        <v>1343</v>
      </c>
      <c r="F153" t="s">
        <v>817</v>
      </c>
      <c r="G153">
        <v>18</v>
      </c>
      <c r="H153">
        <v>0</v>
      </c>
      <c r="I153">
        <v>0</v>
      </c>
      <c r="J153">
        <v>0</v>
      </c>
      <c r="K153">
        <v>0</v>
      </c>
      <c r="L153">
        <v>0</v>
      </c>
      <c r="M153">
        <v>0</v>
      </c>
      <c r="N153">
        <v>0</v>
      </c>
      <c r="O153">
        <v>0</v>
      </c>
      <c r="P153" s="5">
        <f t="shared" si="6"/>
        <v>0</v>
      </c>
      <c r="Q153">
        <v>0</v>
      </c>
      <c r="R153">
        <v>0</v>
      </c>
      <c r="S153">
        <v>0</v>
      </c>
      <c r="T153">
        <v>0</v>
      </c>
      <c r="U153">
        <v>0</v>
      </c>
      <c r="V153">
        <v>0</v>
      </c>
      <c r="W153">
        <v>0</v>
      </c>
      <c r="X153" s="5">
        <f t="shared" si="7"/>
        <v>0</v>
      </c>
      <c r="Y153">
        <v>6</v>
      </c>
      <c r="Z153">
        <v>1</v>
      </c>
      <c r="AA153">
        <v>0</v>
      </c>
      <c r="AB153">
        <v>0</v>
      </c>
      <c r="AC153">
        <v>0</v>
      </c>
      <c r="AD153">
        <v>0</v>
      </c>
      <c r="AE153">
        <v>0</v>
      </c>
      <c r="AF153" s="11">
        <f t="shared" si="8"/>
        <v>0</v>
      </c>
      <c r="AG153">
        <v>0</v>
      </c>
      <c r="AH153">
        <v>0</v>
      </c>
      <c r="AI153" t="s">
        <v>2265</v>
      </c>
      <c r="AJ153" t="s">
        <v>1657</v>
      </c>
    </row>
    <row r="154" spans="1:37" x14ac:dyDescent="0.25">
      <c r="A154">
        <v>1441</v>
      </c>
      <c r="B154" t="s">
        <v>1850</v>
      </c>
      <c r="C154" t="s">
        <v>2278</v>
      </c>
      <c r="D154" t="s">
        <v>219</v>
      </c>
      <c r="E154" s="5">
        <v>1345</v>
      </c>
      <c r="F154" t="s">
        <v>1038</v>
      </c>
      <c r="G154">
        <v>23</v>
      </c>
      <c r="H154">
        <v>0</v>
      </c>
      <c r="I154">
        <v>0</v>
      </c>
      <c r="J154">
        <v>0</v>
      </c>
      <c r="K154">
        <v>0</v>
      </c>
      <c r="L154">
        <v>0</v>
      </c>
      <c r="M154">
        <v>0</v>
      </c>
      <c r="N154">
        <v>0</v>
      </c>
      <c r="O154">
        <v>0</v>
      </c>
      <c r="P154" s="5">
        <f t="shared" si="6"/>
        <v>0</v>
      </c>
      <c r="Q154">
        <v>0</v>
      </c>
      <c r="R154">
        <v>0</v>
      </c>
      <c r="S154">
        <v>0</v>
      </c>
      <c r="T154">
        <v>0</v>
      </c>
      <c r="U154">
        <v>0</v>
      </c>
      <c r="V154">
        <v>0</v>
      </c>
      <c r="W154">
        <v>0</v>
      </c>
      <c r="X154" s="5">
        <f t="shared" si="7"/>
        <v>0</v>
      </c>
      <c r="Y154">
        <v>0</v>
      </c>
      <c r="Z154">
        <v>0</v>
      </c>
      <c r="AA154">
        <v>0</v>
      </c>
      <c r="AB154">
        <v>4</v>
      </c>
      <c r="AC154">
        <v>0</v>
      </c>
      <c r="AD154">
        <v>0</v>
      </c>
      <c r="AE154">
        <v>0</v>
      </c>
      <c r="AF154" s="11">
        <f t="shared" si="8"/>
        <v>4</v>
      </c>
      <c r="AG154">
        <v>0</v>
      </c>
      <c r="AH154">
        <v>0</v>
      </c>
      <c r="AI154" t="s">
        <v>2286</v>
      </c>
      <c r="AJ154" t="s">
        <v>2280</v>
      </c>
    </row>
    <row r="155" spans="1:37" x14ac:dyDescent="0.25">
      <c r="A155">
        <v>1441</v>
      </c>
      <c r="B155" t="s">
        <v>1850</v>
      </c>
      <c r="C155" t="s">
        <v>2278</v>
      </c>
      <c r="D155" t="s">
        <v>219</v>
      </c>
      <c r="E155" s="5">
        <v>1345</v>
      </c>
      <c r="F155" t="s">
        <v>1038</v>
      </c>
      <c r="G155">
        <v>23</v>
      </c>
      <c r="H155">
        <v>0</v>
      </c>
      <c r="I155">
        <v>0</v>
      </c>
      <c r="J155">
        <v>0</v>
      </c>
      <c r="K155">
        <v>0</v>
      </c>
      <c r="L155">
        <v>0</v>
      </c>
      <c r="M155">
        <v>0</v>
      </c>
      <c r="N155">
        <v>0</v>
      </c>
      <c r="O155">
        <v>0</v>
      </c>
      <c r="P155" s="5">
        <f t="shared" si="6"/>
        <v>0</v>
      </c>
      <c r="Q155">
        <v>0</v>
      </c>
      <c r="R155">
        <v>0</v>
      </c>
      <c r="S155">
        <v>0</v>
      </c>
      <c r="T155">
        <v>0</v>
      </c>
      <c r="U155">
        <v>0</v>
      </c>
      <c r="V155">
        <v>0</v>
      </c>
      <c r="W155">
        <v>0</v>
      </c>
      <c r="X155" s="5">
        <f t="shared" si="7"/>
        <v>0</v>
      </c>
      <c r="Y155">
        <v>0</v>
      </c>
      <c r="Z155">
        <v>0</v>
      </c>
      <c r="AA155">
        <v>0</v>
      </c>
      <c r="AB155">
        <f>16/12</f>
        <v>1.3333333333333333</v>
      </c>
      <c r="AC155">
        <v>0</v>
      </c>
      <c r="AD155">
        <v>0</v>
      </c>
      <c r="AE155">
        <v>0</v>
      </c>
      <c r="AF155" s="11">
        <f t="shared" si="8"/>
        <v>1.3333333333333333</v>
      </c>
      <c r="AG155">
        <v>0</v>
      </c>
      <c r="AH155">
        <v>0</v>
      </c>
      <c r="AI155" t="s">
        <v>2287</v>
      </c>
      <c r="AJ155" t="s">
        <v>2280</v>
      </c>
    </row>
    <row r="156" spans="1:37" x14ac:dyDescent="0.25">
      <c r="A156">
        <v>1442</v>
      </c>
      <c r="B156" t="s">
        <v>165</v>
      </c>
      <c r="C156" t="s">
        <v>2278</v>
      </c>
      <c r="D156" t="s">
        <v>219</v>
      </c>
      <c r="E156" s="5">
        <v>1345</v>
      </c>
      <c r="F156" t="s">
        <v>1038</v>
      </c>
      <c r="G156">
        <v>23</v>
      </c>
      <c r="H156">
        <v>0</v>
      </c>
      <c r="I156">
        <v>0</v>
      </c>
      <c r="J156">
        <v>0</v>
      </c>
      <c r="K156">
        <v>0</v>
      </c>
      <c r="L156">
        <v>0</v>
      </c>
      <c r="M156">
        <v>0</v>
      </c>
      <c r="N156">
        <v>0</v>
      </c>
      <c r="O156">
        <v>0</v>
      </c>
      <c r="P156" s="5">
        <f t="shared" si="6"/>
        <v>0</v>
      </c>
      <c r="Q156">
        <v>0</v>
      </c>
      <c r="R156">
        <v>0</v>
      </c>
      <c r="S156">
        <v>0</v>
      </c>
      <c r="T156">
        <v>0</v>
      </c>
      <c r="U156">
        <v>0</v>
      </c>
      <c r="V156">
        <v>0</v>
      </c>
      <c r="W156">
        <v>0</v>
      </c>
      <c r="X156" s="5">
        <f t="shared" si="7"/>
        <v>0</v>
      </c>
      <c r="Y156">
        <v>0</v>
      </c>
      <c r="Z156">
        <v>0</v>
      </c>
      <c r="AA156">
        <v>0</v>
      </c>
      <c r="AB156">
        <f>16/12</f>
        <v>1.3333333333333333</v>
      </c>
      <c r="AC156">
        <v>0</v>
      </c>
      <c r="AD156">
        <v>0</v>
      </c>
      <c r="AE156">
        <v>0</v>
      </c>
      <c r="AF156" s="11">
        <f t="shared" si="8"/>
        <v>1.3333333333333333</v>
      </c>
      <c r="AG156">
        <v>0</v>
      </c>
      <c r="AH156">
        <v>0</v>
      </c>
      <c r="AI156" t="s">
        <v>2287</v>
      </c>
      <c r="AJ156" t="s">
        <v>2280</v>
      </c>
    </row>
    <row r="157" spans="1:37" x14ac:dyDescent="0.25">
      <c r="A157">
        <v>1443</v>
      </c>
      <c r="B157" s="15" t="s">
        <v>3755</v>
      </c>
      <c r="C157" t="s">
        <v>2291</v>
      </c>
      <c r="D157" t="s">
        <v>220</v>
      </c>
      <c r="E157" s="5">
        <v>1345</v>
      </c>
      <c r="F157" t="s">
        <v>1038</v>
      </c>
      <c r="G157">
        <v>23</v>
      </c>
      <c r="H157">
        <v>0</v>
      </c>
      <c r="I157">
        <v>0</v>
      </c>
      <c r="J157">
        <v>0</v>
      </c>
      <c r="K157">
        <v>0</v>
      </c>
      <c r="L157">
        <v>0</v>
      </c>
      <c r="M157">
        <v>0</v>
      </c>
      <c r="N157">
        <v>0</v>
      </c>
      <c r="O157">
        <v>0</v>
      </c>
      <c r="P157" s="5">
        <f t="shared" si="6"/>
        <v>0</v>
      </c>
      <c r="Q157">
        <v>0</v>
      </c>
      <c r="R157">
        <v>0</v>
      </c>
      <c r="S157">
        <v>0</v>
      </c>
      <c r="T157">
        <v>0</v>
      </c>
      <c r="U157">
        <v>0</v>
      </c>
      <c r="V157">
        <v>0</v>
      </c>
      <c r="W157">
        <v>0</v>
      </c>
      <c r="X157" s="5">
        <f t="shared" si="7"/>
        <v>0</v>
      </c>
      <c r="Y157">
        <v>0</v>
      </c>
      <c r="Z157">
        <v>0</v>
      </c>
      <c r="AA157">
        <v>0</v>
      </c>
      <c r="AB157">
        <f>13/12</f>
        <v>1.0833333333333333</v>
      </c>
      <c r="AC157">
        <v>0</v>
      </c>
      <c r="AD157">
        <v>0</v>
      </c>
      <c r="AE157">
        <v>0</v>
      </c>
      <c r="AF157" s="11">
        <f t="shared" si="8"/>
        <v>1.0833333333333333</v>
      </c>
      <c r="AG157">
        <v>0</v>
      </c>
      <c r="AH157">
        <v>0</v>
      </c>
      <c r="AI157" t="s">
        <v>2292</v>
      </c>
      <c r="AJ157" t="s">
        <v>2293</v>
      </c>
    </row>
    <row r="158" spans="1:37" x14ac:dyDescent="0.25">
      <c r="A158">
        <v>1451</v>
      </c>
      <c r="B158" t="s">
        <v>107</v>
      </c>
      <c r="C158" t="s">
        <v>2303</v>
      </c>
      <c r="D158" t="s">
        <v>219</v>
      </c>
      <c r="E158" s="16">
        <v>1342</v>
      </c>
      <c r="F158" s="16" t="s">
        <v>817</v>
      </c>
      <c r="G158" t="s">
        <v>15</v>
      </c>
      <c r="H158">
        <v>0</v>
      </c>
      <c r="I158">
        <v>0</v>
      </c>
      <c r="J158">
        <v>0</v>
      </c>
      <c r="K158">
        <v>0</v>
      </c>
      <c r="L158">
        <v>0</v>
      </c>
      <c r="M158">
        <v>0</v>
      </c>
      <c r="N158">
        <v>1</v>
      </c>
      <c r="O158">
        <v>0</v>
      </c>
      <c r="P158" s="5">
        <f t="shared" si="6"/>
        <v>2.4375</v>
      </c>
      <c r="Q158">
        <v>0</v>
      </c>
      <c r="R158">
        <v>0</v>
      </c>
      <c r="S158">
        <v>0</v>
      </c>
      <c r="T158">
        <v>0</v>
      </c>
      <c r="U158">
        <v>0</v>
      </c>
      <c r="V158">
        <v>0</v>
      </c>
      <c r="W158">
        <v>0</v>
      </c>
      <c r="X158" s="5">
        <f t="shared" si="7"/>
        <v>0</v>
      </c>
      <c r="Y158">
        <v>0</v>
      </c>
      <c r="Z158">
        <v>0</v>
      </c>
      <c r="AA158">
        <v>0</v>
      </c>
      <c r="AB158">
        <v>0</v>
      </c>
      <c r="AC158">
        <v>0</v>
      </c>
      <c r="AD158">
        <v>0</v>
      </c>
      <c r="AE158">
        <v>0</v>
      </c>
      <c r="AF158" s="11">
        <f t="shared" si="8"/>
        <v>0</v>
      </c>
      <c r="AG158">
        <v>0</v>
      </c>
      <c r="AH158">
        <v>0</v>
      </c>
      <c r="AI158" t="s">
        <v>485</v>
      </c>
      <c r="AJ158" t="s">
        <v>2305</v>
      </c>
    </row>
    <row r="159" spans="1:37" x14ac:dyDescent="0.25">
      <c r="A159">
        <v>1461</v>
      </c>
      <c r="B159" t="s">
        <v>2348</v>
      </c>
      <c r="C159" t="s">
        <v>2070</v>
      </c>
      <c r="D159" t="s">
        <v>219</v>
      </c>
      <c r="E159" s="16">
        <v>1342</v>
      </c>
      <c r="F159" s="16" t="s">
        <v>817</v>
      </c>
      <c r="G159" t="s">
        <v>15</v>
      </c>
      <c r="H159">
        <v>0</v>
      </c>
      <c r="I159">
        <v>0</v>
      </c>
      <c r="J159">
        <v>0</v>
      </c>
      <c r="K159">
        <v>0</v>
      </c>
      <c r="L159">
        <v>0</v>
      </c>
      <c r="M159">
        <f>1+1/2</f>
        <v>1.5</v>
      </c>
      <c r="N159">
        <v>0</v>
      </c>
      <c r="O159">
        <v>0</v>
      </c>
      <c r="P159" s="5">
        <f t="shared" si="6"/>
        <v>7.3125</v>
      </c>
      <c r="Q159">
        <v>0</v>
      </c>
      <c r="R159">
        <v>0</v>
      </c>
      <c r="S159">
        <v>0</v>
      </c>
      <c r="T159">
        <f>1+1/2</f>
        <v>1.5</v>
      </c>
      <c r="U159">
        <v>0</v>
      </c>
      <c r="V159">
        <v>0</v>
      </c>
      <c r="W159">
        <v>0</v>
      </c>
      <c r="X159" s="5">
        <f t="shared" si="7"/>
        <v>7.3125</v>
      </c>
      <c r="Y159">
        <v>0</v>
      </c>
      <c r="Z159">
        <v>0</v>
      </c>
      <c r="AA159">
        <v>0</v>
      </c>
      <c r="AB159">
        <f>5+7/12</f>
        <v>5.583333333333333</v>
      </c>
      <c r="AC159">
        <v>0</v>
      </c>
      <c r="AD159">
        <v>1</v>
      </c>
      <c r="AE159">
        <v>0</v>
      </c>
      <c r="AF159" s="11">
        <f t="shared" si="8"/>
        <v>5.625</v>
      </c>
      <c r="AG159">
        <v>0</v>
      </c>
      <c r="AH159">
        <v>0</v>
      </c>
      <c r="AI159" t="s">
        <v>2367</v>
      </c>
    </row>
    <row r="160" spans="1:37" x14ac:dyDescent="0.25">
      <c r="A160">
        <v>1482</v>
      </c>
      <c r="B160" t="s">
        <v>35</v>
      </c>
      <c r="C160" t="s">
        <v>1810</v>
      </c>
      <c r="D160" t="s">
        <v>219</v>
      </c>
      <c r="E160" s="16">
        <v>1342</v>
      </c>
      <c r="F160" s="16" t="s">
        <v>817</v>
      </c>
      <c r="G160" t="s">
        <v>15</v>
      </c>
      <c r="H160">
        <v>0</v>
      </c>
      <c r="I160">
        <v>0</v>
      </c>
      <c r="J160">
        <v>0</v>
      </c>
      <c r="K160">
        <v>0</v>
      </c>
      <c r="L160">
        <v>0</v>
      </c>
      <c r="M160">
        <v>1</v>
      </c>
      <c r="N160">
        <v>0</v>
      </c>
      <c r="O160">
        <v>0</v>
      </c>
      <c r="P160" s="5">
        <f t="shared" si="6"/>
        <v>4.875</v>
      </c>
      <c r="Q160">
        <v>0</v>
      </c>
      <c r="R160">
        <v>0</v>
      </c>
      <c r="S160">
        <v>0</v>
      </c>
      <c r="T160">
        <v>0</v>
      </c>
      <c r="U160">
        <v>0</v>
      </c>
      <c r="V160">
        <v>0</v>
      </c>
      <c r="W160">
        <v>0</v>
      </c>
      <c r="X160" s="5">
        <f t="shared" si="7"/>
        <v>0</v>
      </c>
      <c r="Y160">
        <v>0</v>
      </c>
      <c r="Z160">
        <v>0</v>
      </c>
      <c r="AA160">
        <v>0</v>
      </c>
      <c r="AB160">
        <v>0</v>
      </c>
      <c r="AC160">
        <v>0</v>
      </c>
      <c r="AD160">
        <v>0</v>
      </c>
      <c r="AE160">
        <v>0</v>
      </c>
      <c r="AF160" s="11">
        <f t="shared" si="8"/>
        <v>0</v>
      </c>
      <c r="AG160">
        <v>0</v>
      </c>
      <c r="AH160">
        <v>0</v>
      </c>
      <c r="AI160" t="s">
        <v>2476</v>
      </c>
    </row>
    <row r="161" spans="1:38" x14ac:dyDescent="0.25">
      <c r="A161">
        <v>1492</v>
      </c>
      <c r="B161" t="s">
        <v>13</v>
      </c>
      <c r="C161" t="s">
        <v>2543</v>
      </c>
      <c r="D161" t="s">
        <v>219</v>
      </c>
      <c r="E161" s="16">
        <v>1342</v>
      </c>
      <c r="F161" s="16" t="s">
        <v>817</v>
      </c>
      <c r="G161" t="s">
        <v>15</v>
      </c>
      <c r="H161">
        <v>0</v>
      </c>
      <c r="I161">
        <v>0</v>
      </c>
      <c r="J161">
        <v>0</v>
      </c>
      <c r="K161">
        <v>0</v>
      </c>
      <c r="L161">
        <v>0</v>
      </c>
      <c r="M161">
        <v>0</v>
      </c>
      <c r="N161">
        <v>0</v>
      </c>
      <c r="O161">
        <v>0</v>
      </c>
      <c r="P161" s="5">
        <f t="shared" si="6"/>
        <v>0</v>
      </c>
      <c r="Q161">
        <v>0</v>
      </c>
      <c r="R161">
        <v>0</v>
      </c>
      <c r="S161">
        <v>0</v>
      </c>
      <c r="T161">
        <v>0</v>
      </c>
      <c r="U161">
        <v>0</v>
      </c>
      <c r="V161">
        <v>0</v>
      </c>
      <c r="W161">
        <v>0</v>
      </c>
      <c r="X161" s="5">
        <f t="shared" si="7"/>
        <v>0</v>
      </c>
      <c r="Y161">
        <v>0</v>
      </c>
      <c r="Z161">
        <v>0</v>
      </c>
      <c r="AA161">
        <v>0</v>
      </c>
      <c r="AB161">
        <f>3/12</f>
        <v>0.25</v>
      </c>
      <c r="AC161">
        <v>0</v>
      </c>
      <c r="AD161">
        <v>0</v>
      </c>
      <c r="AE161">
        <v>0</v>
      </c>
      <c r="AF161" s="11">
        <f t="shared" si="8"/>
        <v>0.25</v>
      </c>
      <c r="AG161">
        <v>0</v>
      </c>
      <c r="AH161">
        <v>0</v>
      </c>
      <c r="AI161" t="s">
        <v>1683</v>
      </c>
      <c r="AK161" t="s">
        <v>2505</v>
      </c>
    </row>
    <row r="162" spans="1:38" x14ac:dyDescent="0.25">
      <c r="A162">
        <v>1492</v>
      </c>
      <c r="B162" t="s">
        <v>13</v>
      </c>
      <c r="C162" t="s">
        <v>2543</v>
      </c>
      <c r="D162" t="s">
        <v>219</v>
      </c>
      <c r="E162" s="16">
        <v>1342</v>
      </c>
      <c r="F162" s="16" t="s">
        <v>817</v>
      </c>
      <c r="G162" t="s">
        <v>15</v>
      </c>
      <c r="H162">
        <v>0</v>
      </c>
      <c r="I162">
        <v>0</v>
      </c>
      <c r="J162">
        <v>0</v>
      </c>
      <c r="K162">
        <v>0</v>
      </c>
      <c r="L162">
        <v>0</v>
      </c>
      <c r="M162">
        <v>0</v>
      </c>
      <c r="N162">
        <v>0</v>
      </c>
      <c r="O162">
        <v>0</v>
      </c>
      <c r="P162" s="5">
        <f t="shared" si="6"/>
        <v>0</v>
      </c>
      <c r="Q162">
        <v>0</v>
      </c>
      <c r="R162">
        <v>0</v>
      </c>
      <c r="S162">
        <v>0</v>
      </c>
      <c r="T162">
        <v>0</v>
      </c>
      <c r="U162">
        <v>0</v>
      </c>
      <c r="V162">
        <v>0</v>
      </c>
      <c r="W162">
        <v>0</v>
      </c>
      <c r="X162" s="5">
        <f t="shared" si="7"/>
        <v>0</v>
      </c>
      <c r="Y162">
        <v>0</v>
      </c>
      <c r="Z162">
        <v>0</v>
      </c>
      <c r="AA162">
        <v>0</v>
      </c>
      <c r="AB162">
        <f>6/12</f>
        <v>0.5</v>
      </c>
      <c r="AC162">
        <v>0</v>
      </c>
      <c r="AD162">
        <v>0</v>
      </c>
      <c r="AE162">
        <v>0</v>
      </c>
      <c r="AF162" s="11">
        <f t="shared" si="8"/>
        <v>0.5</v>
      </c>
      <c r="AG162">
        <v>0</v>
      </c>
      <c r="AH162">
        <v>0</v>
      </c>
      <c r="AI162" t="s">
        <v>2511</v>
      </c>
      <c r="AJ162" t="s">
        <v>2509</v>
      </c>
    </row>
    <row r="163" spans="1:38" x14ac:dyDescent="0.25">
      <c r="A163">
        <v>1493</v>
      </c>
      <c r="B163" t="s">
        <v>11</v>
      </c>
      <c r="C163" t="s">
        <v>2522</v>
      </c>
      <c r="D163" t="s">
        <v>219</v>
      </c>
      <c r="E163" s="16">
        <v>1342</v>
      </c>
      <c r="F163" s="16" t="s">
        <v>817</v>
      </c>
      <c r="G163" t="s">
        <v>15</v>
      </c>
      <c r="H163">
        <v>0</v>
      </c>
      <c r="I163">
        <v>0</v>
      </c>
      <c r="J163">
        <v>0</v>
      </c>
      <c r="K163">
        <v>0</v>
      </c>
      <c r="L163">
        <v>0</v>
      </c>
      <c r="M163">
        <v>0</v>
      </c>
      <c r="N163">
        <v>0</v>
      </c>
      <c r="O163">
        <v>0</v>
      </c>
      <c r="P163" s="5">
        <f t="shared" si="6"/>
        <v>0</v>
      </c>
      <c r="Q163">
        <v>0</v>
      </c>
      <c r="R163">
        <v>0</v>
      </c>
      <c r="S163">
        <v>0</v>
      </c>
      <c r="T163">
        <v>0</v>
      </c>
      <c r="U163">
        <v>0</v>
      </c>
      <c r="V163">
        <v>0</v>
      </c>
      <c r="W163">
        <v>0</v>
      </c>
      <c r="X163" s="5">
        <f t="shared" si="7"/>
        <v>0</v>
      </c>
      <c r="Y163">
        <v>0</v>
      </c>
      <c r="Z163">
        <v>0</v>
      </c>
      <c r="AA163">
        <v>0</v>
      </c>
      <c r="AB163">
        <f>6/12</f>
        <v>0.5</v>
      </c>
      <c r="AC163">
        <v>0</v>
      </c>
      <c r="AD163">
        <v>0</v>
      </c>
      <c r="AE163">
        <v>0</v>
      </c>
      <c r="AF163" s="11">
        <f t="shared" si="8"/>
        <v>0.5</v>
      </c>
      <c r="AG163">
        <v>0</v>
      </c>
      <c r="AH163">
        <v>0</v>
      </c>
      <c r="AI163" t="s">
        <v>1930</v>
      </c>
    </row>
    <row r="164" spans="1:38" x14ac:dyDescent="0.25">
      <c r="A164">
        <v>1501</v>
      </c>
      <c r="B164" t="s">
        <v>2524</v>
      </c>
      <c r="C164" t="s">
        <v>2522</v>
      </c>
      <c r="D164" t="s">
        <v>219</v>
      </c>
      <c r="E164" s="16">
        <v>1342</v>
      </c>
      <c r="F164" s="16" t="s">
        <v>817</v>
      </c>
      <c r="G164" t="s">
        <v>15</v>
      </c>
      <c r="H164">
        <v>0</v>
      </c>
      <c r="I164">
        <v>0</v>
      </c>
      <c r="J164">
        <v>0</v>
      </c>
      <c r="K164">
        <v>0</v>
      </c>
      <c r="L164">
        <v>0</v>
      </c>
      <c r="M164">
        <v>0</v>
      </c>
      <c r="N164">
        <v>0</v>
      </c>
      <c r="O164">
        <v>0</v>
      </c>
      <c r="P164" s="5">
        <f t="shared" si="6"/>
        <v>0</v>
      </c>
      <c r="Q164">
        <v>0</v>
      </c>
      <c r="R164">
        <v>0</v>
      </c>
      <c r="S164">
        <v>0</v>
      </c>
      <c r="T164">
        <v>0</v>
      </c>
      <c r="U164">
        <v>0</v>
      </c>
      <c r="V164">
        <v>0</v>
      </c>
      <c r="W164">
        <v>0</v>
      </c>
      <c r="X164" s="5">
        <f t="shared" si="7"/>
        <v>0</v>
      </c>
      <c r="Y164">
        <v>0</v>
      </c>
      <c r="Z164">
        <v>0</v>
      </c>
      <c r="AA164">
        <v>0</v>
      </c>
      <c r="AB164">
        <f>13/12</f>
        <v>1.0833333333333333</v>
      </c>
      <c r="AC164">
        <v>0</v>
      </c>
      <c r="AD164">
        <v>1</v>
      </c>
      <c r="AE164">
        <v>0</v>
      </c>
      <c r="AF164" s="11">
        <f t="shared" si="8"/>
        <v>1.125</v>
      </c>
      <c r="AG164">
        <v>0</v>
      </c>
      <c r="AH164">
        <v>0</v>
      </c>
      <c r="AI164" t="s">
        <v>2527</v>
      </c>
      <c r="AJ164" t="s">
        <v>2528</v>
      </c>
      <c r="AK164" t="s">
        <v>2529</v>
      </c>
    </row>
    <row r="165" spans="1:38" x14ac:dyDescent="0.25">
      <c r="A165">
        <v>1502</v>
      </c>
      <c r="B165" t="s">
        <v>2533</v>
      </c>
      <c r="C165" t="s">
        <v>2522</v>
      </c>
      <c r="D165" t="s">
        <v>220</v>
      </c>
      <c r="E165" s="16">
        <v>1342</v>
      </c>
      <c r="F165" s="16" t="s">
        <v>817</v>
      </c>
      <c r="G165" t="s">
        <v>15</v>
      </c>
      <c r="H165">
        <v>0</v>
      </c>
      <c r="I165">
        <v>0</v>
      </c>
      <c r="J165">
        <v>0</v>
      </c>
      <c r="K165">
        <v>0</v>
      </c>
      <c r="L165">
        <v>0</v>
      </c>
      <c r="M165">
        <v>0</v>
      </c>
      <c r="N165">
        <v>0</v>
      </c>
      <c r="O165">
        <v>0</v>
      </c>
      <c r="P165" s="5">
        <f t="shared" si="6"/>
        <v>0</v>
      </c>
      <c r="Q165">
        <v>0</v>
      </c>
      <c r="R165">
        <v>0</v>
      </c>
      <c r="S165">
        <v>0</v>
      </c>
      <c r="T165">
        <v>0</v>
      </c>
      <c r="U165">
        <v>0</v>
      </c>
      <c r="V165">
        <v>0</v>
      </c>
      <c r="W165">
        <v>0</v>
      </c>
      <c r="X165" s="5">
        <f t="shared" si="7"/>
        <v>0</v>
      </c>
      <c r="Y165">
        <v>0</v>
      </c>
      <c r="Z165">
        <v>0</v>
      </c>
      <c r="AA165">
        <v>0</v>
      </c>
      <c r="AB165">
        <f>3/12</f>
        <v>0.25</v>
      </c>
      <c r="AC165">
        <v>0</v>
      </c>
      <c r="AD165">
        <v>0</v>
      </c>
      <c r="AE165">
        <v>0</v>
      </c>
      <c r="AF165" s="11">
        <f t="shared" si="8"/>
        <v>0.25</v>
      </c>
      <c r="AG165">
        <v>0</v>
      </c>
      <c r="AH165">
        <v>0</v>
      </c>
      <c r="AI165" t="s">
        <v>815</v>
      </c>
      <c r="AK165" t="s">
        <v>2535</v>
      </c>
    </row>
    <row r="166" spans="1:38" x14ac:dyDescent="0.25">
      <c r="A166">
        <v>1502</v>
      </c>
      <c r="B166" t="s">
        <v>2533</v>
      </c>
      <c r="C166" t="s">
        <v>2562</v>
      </c>
      <c r="D166" t="s">
        <v>220</v>
      </c>
      <c r="E166" s="16">
        <v>1342</v>
      </c>
      <c r="F166" s="16" t="s">
        <v>817</v>
      </c>
      <c r="G166" t="s">
        <v>15</v>
      </c>
      <c r="H166">
        <v>0</v>
      </c>
      <c r="I166">
        <v>0</v>
      </c>
      <c r="J166">
        <v>0</v>
      </c>
      <c r="K166" s="5">
        <v>2</v>
      </c>
      <c r="L166">
        <v>0</v>
      </c>
      <c r="M166">
        <v>0</v>
      </c>
      <c r="N166">
        <v>0</v>
      </c>
      <c r="O166">
        <v>0</v>
      </c>
      <c r="P166" s="5">
        <f t="shared" si="6"/>
        <v>78</v>
      </c>
      <c r="Q166">
        <v>0</v>
      </c>
      <c r="R166">
        <v>0</v>
      </c>
      <c r="S166">
        <v>0</v>
      </c>
      <c r="T166">
        <v>0</v>
      </c>
      <c r="U166">
        <v>0</v>
      </c>
      <c r="V166" s="5">
        <v>1</v>
      </c>
      <c r="W166">
        <v>0</v>
      </c>
      <c r="X166" s="5">
        <f t="shared" si="7"/>
        <v>9.75</v>
      </c>
      <c r="Y166">
        <v>0</v>
      </c>
      <c r="Z166">
        <v>0</v>
      </c>
      <c r="AA166">
        <v>0</v>
      </c>
      <c r="AB166">
        <v>0</v>
      </c>
      <c r="AC166">
        <v>0</v>
      </c>
      <c r="AD166">
        <v>0</v>
      </c>
      <c r="AE166">
        <v>0</v>
      </c>
      <c r="AF166" s="11">
        <f t="shared" si="8"/>
        <v>0</v>
      </c>
      <c r="AG166">
        <v>0</v>
      </c>
      <c r="AH166">
        <v>0</v>
      </c>
      <c r="AI166" t="s">
        <v>1153</v>
      </c>
      <c r="AJ166" t="s">
        <v>2562</v>
      </c>
    </row>
    <row r="167" spans="1:38" x14ac:dyDescent="0.25">
      <c r="A167">
        <v>1521</v>
      </c>
      <c r="B167" t="s">
        <v>465</v>
      </c>
      <c r="C167" t="s">
        <v>2573</v>
      </c>
      <c r="D167" t="s">
        <v>219</v>
      </c>
      <c r="E167" s="16">
        <v>1342</v>
      </c>
      <c r="F167" s="16" t="s">
        <v>817</v>
      </c>
      <c r="G167" t="s">
        <v>15</v>
      </c>
      <c r="H167">
        <v>1</v>
      </c>
      <c r="I167">
        <v>0</v>
      </c>
      <c r="J167">
        <v>0</v>
      </c>
      <c r="K167" s="5">
        <v>2</v>
      </c>
      <c r="L167">
        <v>0</v>
      </c>
      <c r="M167">
        <v>0</v>
      </c>
      <c r="N167">
        <v>0</v>
      </c>
      <c r="O167">
        <v>0</v>
      </c>
      <c r="P167" s="5">
        <f t="shared" si="6"/>
        <v>78</v>
      </c>
      <c r="Q167">
        <v>0</v>
      </c>
      <c r="R167" s="5">
        <v>2</v>
      </c>
      <c r="S167">
        <v>0</v>
      </c>
      <c r="T167">
        <v>0</v>
      </c>
      <c r="U167">
        <v>0</v>
      </c>
      <c r="V167">
        <v>0</v>
      </c>
      <c r="W167">
        <v>0</v>
      </c>
      <c r="X167" s="5">
        <f t="shared" si="7"/>
        <v>78</v>
      </c>
      <c r="Y167">
        <v>0</v>
      </c>
      <c r="Z167">
        <v>0</v>
      </c>
      <c r="AA167">
        <v>0</v>
      </c>
      <c r="AB167">
        <v>25</v>
      </c>
      <c r="AC167">
        <v>0</v>
      </c>
      <c r="AD167">
        <v>0</v>
      </c>
      <c r="AE167">
        <v>0</v>
      </c>
      <c r="AF167" s="11">
        <f t="shared" si="8"/>
        <v>25</v>
      </c>
      <c r="AG167">
        <v>0</v>
      </c>
      <c r="AH167">
        <v>0</v>
      </c>
      <c r="AI167" t="s">
        <v>1153</v>
      </c>
      <c r="AJ167" t="s">
        <v>5</v>
      </c>
    </row>
    <row r="168" spans="1:38" x14ac:dyDescent="0.25">
      <c r="A168">
        <v>1522</v>
      </c>
      <c r="B168" t="s">
        <v>11</v>
      </c>
      <c r="C168" t="s">
        <v>2582</v>
      </c>
      <c r="D168" t="s">
        <v>219</v>
      </c>
      <c r="E168" s="16">
        <v>1342</v>
      </c>
      <c r="F168" t="s">
        <v>1097</v>
      </c>
      <c r="G168">
        <v>8</v>
      </c>
      <c r="H168">
        <v>0</v>
      </c>
      <c r="I168">
        <v>0</v>
      </c>
      <c r="J168">
        <v>0</v>
      </c>
      <c r="K168">
        <v>0</v>
      </c>
      <c r="L168">
        <v>0</v>
      </c>
      <c r="M168">
        <v>0</v>
      </c>
      <c r="N168">
        <v>0</v>
      </c>
      <c r="O168">
        <v>0</v>
      </c>
      <c r="P168" s="5">
        <f t="shared" si="6"/>
        <v>0</v>
      </c>
      <c r="Q168">
        <v>0</v>
      </c>
      <c r="R168">
        <v>0</v>
      </c>
      <c r="S168">
        <v>0</v>
      </c>
      <c r="T168">
        <v>0</v>
      </c>
      <c r="U168">
        <v>0</v>
      </c>
      <c r="V168">
        <v>0</v>
      </c>
      <c r="W168">
        <v>0</v>
      </c>
      <c r="X168" s="5">
        <f t="shared" si="7"/>
        <v>0</v>
      </c>
      <c r="Y168">
        <v>0</v>
      </c>
      <c r="Z168">
        <v>0</v>
      </c>
      <c r="AA168">
        <v>0</v>
      </c>
      <c r="AB168">
        <f>4/12</f>
        <v>0.33333333333333331</v>
      </c>
      <c r="AC168">
        <v>0</v>
      </c>
      <c r="AD168">
        <v>0</v>
      </c>
      <c r="AE168">
        <v>0</v>
      </c>
      <c r="AF168" s="11">
        <f t="shared" si="8"/>
        <v>0.33333333333333331</v>
      </c>
      <c r="AG168">
        <v>0</v>
      </c>
      <c r="AH168">
        <v>0</v>
      </c>
      <c r="AI168" t="s">
        <v>1683</v>
      </c>
      <c r="AK168" t="s">
        <v>2583</v>
      </c>
    </row>
    <row r="169" spans="1:38" x14ac:dyDescent="0.25">
      <c r="A169">
        <v>1531</v>
      </c>
      <c r="B169" t="s">
        <v>2060</v>
      </c>
      <c r="C169" t="s">
        <v>2660</v>
      </c>
      <c r="D169" t="s">
        <v>219</v>
      </c>
      <c r="E169" s="16">
        <v>1342</v>
      </c>
      <c r="F169" t="s">
        <v>817</v>
      </c>
      <c r="G169">
        <v>17</v>
      </c>
      <c r="H169">
        <v>1</v>
      </c>
      <c r="I169">
        <v>0</v>
      </c>
      <c r="J169">
        <v>0</v>
      </c>
      <c r="K169">
        <v>0</v>
      </c>
      <c r="L169">
        <v>0</v>
      </c>
      <c r="M169">
        <v>0</v>
      </c>
      <c r="N169">
        <v>0</v>
      </c>
      <c r="O169">
        <v>0</v>
      </c>
      <c r="P169" s="5">
        <f t="shared" si="6"/>
        <v>0</v>
      </c>
      <c r="Q169">
        <v>0</v>
      </c>
      <c r="R169">
        <v>0</v>
      </c>
      <c r="S169">
        <v>0</v>
      </c>
      <c r="T169">
        <v>0</v>
      </c>
      <c r="U169">
        <v>0</v>
      </c>
      <c r="V169">
        <v>0</v>
      </c>
      <c r="W169">
        <v>0</v>
      </c>
      <c r="X169" s="5">
        <f t="shared" si="7"/>
        <v>0</v>
      </c>
      <c r="Y169">
        <v>0</v>
      </c>
      <c r="Z169">
        <v>0</v>
      </c>
      <c r="AA169">
        <v>0</v>
      </c>
      <c r="AB169">
        <v>0</v>
      </c>
      <c r="AC169">
        <v>0</v>
      </c>
      <c r="AD169">
        <v>0</v>
      </c>
      <c r="AE169">
        <v>0</v>
      </c>
      <c r="AF169" s="11">
        <f t="shared" si="8"/>
        <v>0</v>
      </c>
      <c r="AG169">
        <v>0</v>
      </c>
      <c r="AH169">
        <v>0</v>
      </c>
      <c r="AI169" t="s">
        <v>389</v>
      </c>
      <c r="AK169" t="s">
        <v>2593</v>
      </c>
    </row>
    <row r="170" spans="1:38" x14ac:dyDescent="0.25">
      <c r="A170">
        <v>1531</v>
      </c>
      <c r="B170" t="s">
        <v>2060</v>
      </c>
      <c r="C170" t="s">
        <v>2660</v>
      </c>
      <c r="D170" t="s">
        <v>219</v>
      </c>
      <c r="E170" s="16">
        <v>1342</v>
      </c>
      <c r="F170" t="s">
        <v>817</v>
      </c>
      <c r="G170">
        <v>17</v>
      </c>
      <c r="H170">
        <v>0</v>
      </c>
      <c r="I170">
        <v>0</v>
      </c>
      <c r="J170">
        <v>0</v>
      </c>
      <c r="K170">
        <v>0</v>
      </c>
      <c r="L170">
        <v>0</v>
      </c>
      <c r="M170">
        <v>0</v>
      </c>
      <c r="N170">
        <v>0</v>
      </c>
      <c r="O170">
        <v>0</v>
      </c>
      <c r="P170" s="5">
        <f t="shared" si="6"/>
        <v>0</v>
      </c>
      <c r="Q170">
        <v>0</v>
      </c>
      <c r="R170">
        <v>0</v>
      </c>
      <c r="S170">
        <v>0</v>
      </c>
      <c r="T170">
        <v>0</v>
      </c>
      <c r="U170">
        <v>0</v>
      </c>
      <c r="V170">
        <v>0</v>
      </c>
      <c r="W170">
        <v>0</v>
      </c>
      <c r="X170" s="5">
        <f t="shared" si="7"/>
        <v>0</v>
      </c>
      <c r="Y170">
        <v>0</v>
      </c>
      <c r="Z170">
        <v>0</v>
      </c>
      <c r="AA170">
        <v>0</v>
      </c>
      <c r="AB170">
        <f>2+10/12</f>
        <v>2.8333333333333335</v>
      </c>
      <c r="AC170">
        <v>0</v>
      </c>
      <c r="AD170">
        <v>0</v>
      </c>
      <c r="AE170">
        <v>0</v>
      </c>
      <c r="AF170" s="11">
        <f t="shared" si="8"/>
        <v>2.8333333333333335</v>
      </c>
      <c r="AG170">
        <v>0</v>
      </c>
      <c r="AH170">
        <v>0</v>
      </c>
      <c r="AI170" t="s">
        <v>2540</v>
      </c>
    </row>
    <row r="171" spans="1:38" x14ac:dyDescent="0.25">
      <c r="A171">
        <v>1541</v>
      </c>
      <c r="B171" t="s">
        <v>23</v>
      </c>
      <c r="C171" t="s">
        <v>2653</v>
      </c>
      <c r="D171" t="s">
        <v>219</v>
      </c>
      <c r="E171" s="16">
        <v>1342</v>
      </c>
      <c r="F171" t="s">
        <v>817</v>
      </c>
      <c r="G171">
        <v>17</v>
      </c>
      <c r="H171">
        <v>1</v>
      </c>
      <c r="I171">
        <v>0</v>
      </c>
      <c r="J171">
        <v>0</v>
      </c>
      <c r="K171">
        <v>0</v>
      </c>
      <c r="L171">
        <v>1</v>
      </c>
      <c r="M171">
        <v>0</v>
      </c>
      <c r="N171">
        <v>0</v>
      </c>
      <c r="O171">
        <v>0</v>
      </c>
      <c r="P171" s="5">
        <f t="shared" si="6"/>
        <v>19.5</v>
      </c>
      <c r="Q171">
        <v>0</v>
      </c>
      <c r="R171">
        <v>0</v>
      </c>
      <c r="S171">
        <v>1</v>
      </c>
      <c r="T171">
        <f>1/3</f>
        <v>0.33333333333333331</v>
      </c>
      <c r="U171">
        <v>0</v>
      </c>
      <c r="V171">
        <v>0</v>
      </c>
      <c r="W171">
        <v>0</v>
      </c>
      <c r="X171" s="5">
        <f t="shared" si="7"/>
        <v>21.125</v>
      </c>
      <c r="Y171">
        <v>0</v>
      </c>
      <c r="Z171">
        <v>0</v>
      </c>
      <c r="AA171">
        <v>0</v>
      </c>
      <c r="AB171">
        <v>0</v>
      </c>
      <c r="AC171">
        <v>0</v>
      </c>
      <c r="AD171">
        <v>0</v>
      </c>
      <c r="AE171">
        <v>0</v>
      </c>
      <c r="AF171" s="11">
        <f t="shared" si="8"/>
        <v>0</v>
      </c>
      <c r="AG171">
        <v>0</v>
      </c>
      <c r="AH171">
        <v>0</v>
      </c>
      <c r="AI171" t="s">
        <v>2636</v>
      </c>
    </row>
    <row r="172" spans="1:38" x14ac:dyDescent="0.25">
      <c r="A172">
        <v>1541</v>
      </c>
      <c r="B172" t="s">
        <v>23</v>
      </c>
      <c r="C172" t="s">
        <v>2653</v>
      </c>
      <c r="D172" t="s">
        <v>219</v>
      </c>
      <c r="E172" s="16">
        <v>1342</v>
      </c>
      <c r="F172" t="s">
        <v>817</v>
      </c>
      <c r="G172">
        <v>17</v>
      </c>
      <c r="H172">
        <v>0</v>
      </c>
      <c r="I172">
        <v>0</v>
      </c>
      <c r="J172">
        <v>0</v>
      </c>
      <c r="K172">
        <v>0</v>
      </c>
      <c r="L172">
        <v>0</v>
      </c>
      <c r="M172">
        <v>0</v>
      </c>
      <c r="N172">
        <v>0</v>
      </c>
      <c r="O172">
        <v>0</v>
      </c>
      <c r="P172" s="5">
        <f t="shared" si="6"/>
        <v>0</v>
      </c>
      <c r="Q172">
        <v>0</v>
      </c>
      <c r="R172">
        <v>0</v>
      </c>
      <c r="S172">
        <v>0</v>
      </c>
      <c r="T172">
        <v>0</v>
      </c>
      <c r="U172">
        <v>0</v>
      </c>
      <c r="V172">
        <v>0</v>
      </c>
      <c r="W172">
        <v>0</v>
      </c>
      <c r="X172" s="5">
        <f t="shared" si="7"/>
        <v>0</v>
      </c>
      <c r="Y172">
        <v>0</v>
      </c>
      <c r="Z172">
        <v>0</v>
      </c>
      <c r="AA172">
        <v>0</v>
      </c>
      <c r="AB172">
        <f>8/12</f>
        <v>0.66666666666666663</v>
      </c>
      <c r="AC172">
        <v>0</v>
      </c>
      <c r="AD172">
        <v>0</v>
      </c>
      <c r="AE172">
        <v>0</v>
      </c>
      <c r="AF172" s="11">
        <f t="shared" si="8"/>
        <v>0.66666666666666663</v>
      </c>
      <c r="AG172">
        <v>0</v>
      </c>
      <c r="AH172">
        <v>0</v>
      </c>
      <c r="AI172" t="s">
        <v>2642</v>
      </c>
    </row>
    <row r="173" spans="1:38" x14ac:dyDescent="0.25">
      <c r="A173">
        <v>1541</v>
      </c>
      <c r="B173" t="s">
        <v>23</v>
      </c>
      <c r="C173" t="s">
        <v>2653</v>
      </c>
      <c r="D173" t="s">
        <v>219</v>
      </c>
      <c r="E173" s="16">
        <v>1342</v>
      </c>
      <c r="F173" t="s">
        <v>817</v>
      </c>
      <c r="G173">
        <v>17</v>
      </c>
      <c r="H173">
        <v>0</v>
      </c>
      <c r="I173">
        <v>0</v>
      </c>
      <c r="J173">
        <v>0</v>
      </c>
      <c r="K173">
        <v>0</v>
      </c>
      <c r="L173">
        <v>0</v>
      </c>
      <c r="M173">
        <v>0</v>
      </c>
      <c r="N173">
        <v>0</v>
      </c>
      <c r="O173">
        <v>0</v>
      </c>
      <c r="P173" s="5">
        <f t="shared" si="6"/>
        <v>0</v>
      </c>
      <c r="Q173">
        <v>0</v>
      </c>
      <c r="R173">
        <v>0</v>
      </c>
      <c r="S173">
        <v>0</v>
      </c>
      <c r="T173">
        <v>0</v>
      </c>
      <c r="U173">
        <v>0</v>
      </c>
      <c r="V173">
        <v>0</v>
      </c>
      <c r="W173">
        <v>0</v>
      </c>
      <c r="X173" s="5">
        <f t="shared" si="7"/>
        <v>0</v>
      </c>
      <c r="Y173">
        <v>0</v>
      </c>
      <c r="Z173">
        <v>0</v>
      </c>
      <c r="AA173">
        <v>0</v>
      </c>
      <c r="AB173">
        <f>4/12</f>
        <v>0.33333333333333331</v>
      </c>
      <c r="AC173">
        <v>0</v>
      </c>
      <c r="AD173">
        <v>0</v>
      </c>
      <c r="AE173">
        <v>0</v>
      </c>
      <c r="AF173" s="11">
        <f t="shared" si="8"/>
        <v>0.33333333333333331</v>
      </c>
      <c r="AG173">
        <v>0</v>
      </c>
      <c r="AH173">
        <v>0</v>
      </c>
      <c r="AI173" t="s">
        <v>398</v>
      </c>
      <c r="AL173" t="s">
        <v>2646</v>
      </c>
    </row>
    <row r="174" spans="1:38" x14ac:dyDescent="0.25">
      <c r="A174">
        <v>1542</v>
      </c>
      <c r="B174" t="s">
        <v>23</v>
      </c>
      <c r="C174" t="s">
        <v>2653</v>
      </c>
      <c r="D174" t="s">
        <v>219</v>
      </c>
      <c r="E174" s="5">
        <v>1343</v>
      </c>
      <c r="G174" s="9" t="s">
        <v>2652</v>
      </c>
      <c r="H174">
        <v>0</v>
      </c>
      <c r="I174">
        <v>0</v>
      </c>
      <c r="J174">
        <v>0</v>
      </c>
      <c r="K174">
        <v>0</v>
      </c>
      <c r="L174">
        <v>0</v>
      </c>
      <c r="M174">
        <v>0</v>
      </c>
      <c r="N174">
        <v>0</v>
      </c>
      <c r="O174">
        <v>0</v>
      </c>
      <c r="P174" s="5">
        <f t="shared" si="6"/>
        <v>0</v>
      </c>
      <c r="Q174">
        <v>0</v>
      </c>
      <c r="R174">
        <v>0</v>
      </c>
      <c r="S174">
        <v>0</v>
      </c>
      <c r="T174">
        <v>0</v>
      </c>
      <c r="U174">
        <v>0</v>
      </c>
      <c r="V174">
        <v>0</v>
      </c>
      <c r="W174">
        <v>0</v>
      </c>
      <c r="X174" s="5">
        <f t="shared" si="7"/>
        <v>0</v>
      </c>
      <c r="Y174">
        <v>0</v>
      </c>
      <c r="Z174">
        <v>0</v>
      </c>
      <c r="AA174">
        <v>0</v>
      </c>
      <c r="AB174">
        <f>4/12</f>
        <v>0.33333333333333331</v>
      </c>
      <c r="AC174">
        <v>0</v>
      </c>
      <c r="AD174">
        <v>0</v>
      </c>
      <c r="AE174">
        <v>0</v>
      </c>
      <c r="AF174" s="11">
        <f t="shared" si="8"/>
        <v>0.33333333333333331</v>
      </c>
      <c r="AG174">
        <v>0</v>
      </c>
      <c r="AH174">
        <v>0</v>
      </c>
      <c r="AI174" t="s">
        <v>2655</v>
      </c>
      <c r="AJ174" t="s">
        <v>2656</v>
      </c>
    </row>
    <row r="175" spans="1:38" x14ac:dyDescent="0.25">
      <c r="A175">
        <v>1551</v>
      </c>
      <c r="B175" t="s">
        <v>11</v>
      </c>
      <c r="C175" t="s">
        <v>2661</v>
      </c>
      <c r="D175" t="s">
        <v>219</v>
      </c>
      <c r="E175" s="16">
        <v>1342</v>
      </c>
      <c r="F175" t="s">
        <v>817</v>
      </c>
      <c r="G175">
        <v>17</v>
      </c>
      <c r="H175">
        <v>1</v>
      </c>
      <c r="I175">
        <v>0</v>
      </c>
      <c r="J175">
        <v>0</v>
      </c>
      <c r="K175">
        <v>0</v>
      </c>
      <c r="L175">
        <v>0</v>
      </c>
      <c r="M175">
        <v>0</v>
      </c>
      <c r="N175">
        <v>0</v>
      </c>
      <c r="O175">
        <v>0</v>
      </c>
      <c r="P175" s="5">
        <f t="shared" si="6"/>
        <v>0</v>
      </c>
      <c r="Q175">
        <v>0</v>
      </c>
      <c r="R175">
        <v>0</v>
      </c>
      <c r="S175">
        <v>0</v>
      </c>
      <c r="T175">
        <v>1</v>
      </c>
      <c r="U175">
        <v>0</v>
      </c>
      <c r="V175">
        <v>0</v>
      </c>
      <c r="W175">
        <v>0</v>
      </c>
      <c r="X175" s="5">
        <f t="shared" si="7"/>
        <v>4.875</v>
      </c>
      <c r="Y175">
        <v>0</v>
      </c>
      <c r="Z175">
        <v>0</v>
      </c>
      <c r="AA175">
        <v>0</v>
      </c>
      <c r="AB175">
        <v>0</v>
      </c>
      <c r="AC175">
        <v>0</v>
      </c>
      <c r="AD175">
        <v>0</v>
      </c>
      <c r="AE175">
        <v>0</v>
      </c>
      <c r="AF175" s="11">
        <f t="shared" si="8"/>
        <v>0</v>
      </c>
      <c r="AG175">
        <v>0</v>
      </c>
      <c r="AH175">
        <v>0</v>
      </c>
      <c r="AI175" t="s">
        <v>2664</v>
      </c>
    </row>
    <row r="176" spans="1:38" x14ac:dyDescent="0.25">
      <c r="A176">
        <v>1561</v>
      </c>
      <c r="B176" t="s">
        <v>1439</v>
      </c>
      <c r="C176" t="s">
        <v>2661</v>
      </c>
      <c r="D176" t="s">
        <v>219</v>
      </c>
      <c r="E176" s="16">
        <v>1342</v>
      </c>
      <c r="F176" t="s">
        <v>817</v>
      </c>
      <c r="G176">
        <v>17</v>
      </c>
      <c r="H176">
        <v>1</v>
      </c>
      <c r="I176">
        <v>0</v>
      </c>
      <c r="J176">
        <v>0</v>
      </c>
      <c r="K176">
        <v>0</v>
      </c>
      <c r="L176">
        <v>0</v>
      </c>
      <c r="M176">
        <v>0</v>
      </c>
      <c r="N176">
        <v>0</v>
      </c>
      <c r="O176">
        <v>0</v>
      </c>
      <c r="P176" s="5">
        <f t="shared" si="6"/>
        <v>0</v>
      </c>
      <c r="Q176">
        <v>0</v>
      </c>
      <c r="R176">
        <v>0</v>
      </c>
      <c r="S176">
        <v>0</v>
      </c>
      <c r="T176">
        <v>0</v>
      </c>
      <c r="U176">
        <v>0</v>
      </c>
      <c r="V176">
        <v>0</v>
      </c>
      <c r="W176">
        <v>0</v>
      </c>
      <c r="X176" s="5">
        <f t="shared" si="7"/>
        <v>0</v>
      </c>
      <c r="Y176">
        <v>0</v>
      </c>
      <c r="Z176">
        <v>0</v>
      </c>
      <c r="AA176">
        <v>0</v>
      </c>
      <c r="AB176">
        <v>0</v>
      </c>
      <c r="AC176">
        <v>0</v>
      </c>
      <c r="AD176">
        <v>0</v>
      </c>
      <c r="AE176">
        <v>0</v>
      </c>
      <c r="AF176" s="11">
        <f t="shared" si="8"/>
        <v>0</v>
      </c>
      <c r="AG176">
        <v>0</v>
      </c>
      <c r="AH176">
        <v>0</v>
      </c>
      <c r="AI176" t="s">
        <v>389</v>
      </c>
      <c r="AK176" t="s">
        <v>2592</v>
      </c>
    </row>
    <row r="177" spans="1:37" x14ac:dyDescent="0.25">
      <c r="A177">
        <v>1561</v>
      </c>
      <c r="B177" t="s">
        <v>1439</v>
      </c>
      <c r="C177" t="s">
        <v>2661</v>
      </c>
      <c r="D177" t="s">
        <v>219</v>
      </c>
      <c r="E177" s="16">
        <v>1342</v>
      </c>
      <c r="F177" t="s">
        <v>817</v>
      </c>
      <c r="G177">
        <v>17</v>
      </c>
      <c r="H177">
        <v>0</v>
      </c>
      <c r="I177">
        <v>0</v>
      </c>
      <c r="J177">
        <v>0</v>
      </c>
      <c r="K177">
        <v>0</v>
      </c>
      <c r="L177">
        <v>0</v>
      </c>
      <c r="M177">
        <v>0</v>
      </c>
      <c r="N177">
        <v>0</v>
      </c>
      <c r="O177">
        <v>0</v>
      </c>
      <c r="P177" s="5">
        <f t="shared" si="6"/>
        <v>0</v>
      </c>
      <c r="Q177">
        <v>0</v>
      </c>
      <c r="R177">
        <v>0</v>
      </c>
      <c r="S177">
        <v>0</v>
      </c>
      <c r="T177">
        <v>0</v>
      </c>
      <c r="U177">
        <v>0</v>
      </c>
      <c r="V177">
        <v>0</v>
      </c>
      <c r="W177">
        <v>0</v>
      </c>
      <c r="X177" s="5">
        <f t="shared" si="7"/>
        <v>0</v>
      </c>
      <c r="Y177">
        <v>0</v>
      </c>
      <c r="Z177">
        <v>0</v>
      </c>
      <c r="AA177">
        <v>0</v>
      </c>
      <c r="AB177">
        <f>22/12</f>
        <v>1.8333333333333333</v>
      </c>
      <c r="AC177">
        <v>0</v>
      </c>
      <c r="AD177">
        <v>0</v>
      </c>
      <c r="AE177">
        <v>0</v>
      </c>
      <c r="AF177" s="11">
        <f t="shared" si="8"/>
        <v>1.8333333333333333</v>
      </c>
      <c r="AG177">
        <v>0</v>
      </c>
      <c r="AH177">
        <v>0</v>
      </c>
      <c r="AI177" t="s">
        <v>398</v>
      </c>
      <c r="AJ177" t="s">
        <v>2689</v>
      </c>
      <c r="AK177" t="s">
        <v>2688</v>
      </c>
    </row>
    <row r="178" spans="1:37" x14ac:dyDescent="0.25">
      <c r="A178">
        <v>1581</v>
      </c>
      <c r="B178" t="s">
        <v>39</v>
      </c>
      <c r="C178" t="s">
        <v>2729</v>
      </c>
      <c r="D178" t="s">
        <v>219</v>
      </c>
      <c r="E178" s="5">
        <v>1342</v>
      </c>
      <c r="F178" t="s">
        <v>817</v>
      </c>
      <c r="G178">
        <v>19</v>
      </c>
      <c r="H178">
        <v>0</v>
      </c>
      <c r="I178">
        <v>0</v>
      </c>
      <c r="J178">
        <v>0</v>
      </c>
      <c r="K178">
        <v>0</v>
      </c>
      <c r="L178">
        <v>0</v>
      </c>
      <c r="M178">
        <v>0</v>
      </c>
      <c r="N178">
        <v>0</v>
      </c>
      <c r="O178">
        <v>0</v>
      </c>
      <c r="P178" s="5">
        <f t="shared" si="6"/>
        <v>0</v>
      </c>
      <c r="Q178">
        <v>0</v>
      </c>
      <c r="R178">
        <v>0</v>
      </c>
      <c r="S178">
        <v>0</v>
      </c>
      <c r="T178">
        <v>0</v>
      </c>
      <c r="U178">
        <v>0</v>
      </c>
      <c r="V178">
        <v>0</v>
      </c>
      <c r="W178">
        <v>0</v>
      </c>
      <c r="X178" s="5">
        <f t="shared" si="7"/>
        <v>0</v>
      </c>
      <c r="Y178">
        <v>0</v>
      </c>
      <c r="Z178">
        <v>0</v>
      </c>
      <c r="AA178">
        <v>0</v>
      </c>
      <c r="AB178">
        <f>15/12</f>
        <v>1.25</v>
      </c>
      <c r="AC178">
        <v>0</v>
      </c>
      <c r="AD178">
        <v>0</v>
      </c>
      <c r="AE178">
        <v>0</v>
      </c>
      <c r="AF178" s="11">
        <f t="shared" si="8"/>
        <v>1.25</v>
      </c>
      <c r="AG178">
        <v>0</v>
      </c>
      <c r="AH178">
        <v>0</v>
      </c>
      <c r="AI178" t="s">
        <v>2742</v>
      </c>
      <c r="AJ178" t="s">
        <v>2741</v>
      </c>
      <c r="AK178" t="s">
        <v>2738</v>
      </c>
    </row>
    <row r="179" spans="1:37" x14ac:dyDescent="0.25">
      <c r="A179">
        <v>1581</v>
      </c>
      <c r="B179" t="s">
        <v>39</v>
      </c>
      <c r="C179" t="s">
        <v>2729</v>
      </c>
      <c r="D179" t="s">
        <v>219</v>
      </c>
      <c r="E179" s="5">
        <v>1342</v>
      </c>
      <c r="F179" t="s">
        <v>817</v>
      </c>
      <c r="G179">
        <v>19</v>
      </c>
      <c r="H179">
        <v>0</v>
      </c>
      <c r="I179">
        <v>0</v>
      </c>
      <c r="J179">
        <v>0</v>
      </c>
      <c r="K179">
        <v>0</v>
      </c>
      <c r="L179">
        <v>0</v>
      </c>
      <c r="M179">
        <v>0</v>
      </c>
      <c r="N179">
        <v>0</v>
      </c>
      <c r="O179">
        <v>0</v>
      </c>
      <c r="P179" s="5">
        <f t="shared" si="6"/>
        <v>0</v>
      </c>
      <c r="Q179">
        <v>0</v>
      </c>
      <c r="R179">
        <v>0</v>
      </c>
      <c r="S179">
        <v>0</v>
      </c>
      <c r="T179">
        <v>1</v>
      </c>
      <c r="U179">
        <f>1/2</f>
        <v>0.5</v>
      </c>
      <c r="V179">
        <v>0</v>
      </c>
      <c r="W179">
        <v>0</v>
      </c>
      <c r="X179" s="5">
        <f t="shared" si="7"/>
        <v>6.09375</v>
      </c>
      <c r="Y179">
        <v>0</v>
      </c>
      <c r="Z179">
        <v>0</v>
      </c>
      <c r="AA179">
        <v>0</v>
      </c>
      <c r="AB179">
        <v>0</v>
      </c>
      <c r="AC179">
        <v>0</v>
      </c>
      <c r="AD179">
        <v>0</v>
      </c>
      <c r="AE179">
        <v>0</v>
      </c>
      <c r="AF179" s="11">
        <f t="shared" si="8"/>
        <v>0</v>
      </c>
      <c r="AG179">
        <v>0</v>
      </c>
      <c r="AH179">
        <v>0</v>
      </c>
      <c r="AI179" t="s">
        <v>719</v>
      </c>
      <c r="AK179" t="s">
        <v>2743</v>
      </c>
    </row>
    <row r="180" spans="1:37" x14ac:dyDescent="0.25">
      <c r="A180">
        <v>1582</v>
      </c>
      <c r="B180" s="15" t="s">
        <v>17</v>
      </c>
      <c r="C180" t="s">
        <v>2018</v>
      </c>
      <c r="D180" t="s">
        <v>219</v>
      </c>
      <c r="E180" s="5">
        <v>1342</v>
      </c>
      <c r="F180" t="s">
        <v>817</v>
      </c>
      <c r="G180">
        <v>19</v>
      </c>
      <c r="H180">
        <f>1/6</f>
        <v>0.16666666666666666</v>
      </c>
      <c r="I180">
        <v>0</v>
      </c>
      <c r="J180">
        <v>0</v>
      </c>
      <c r="K180">
        <v>0</v>
      </c>
      <c r="L180">
        <v>0</v>
      </c>
      <c r="M180">
        <v>0</v>
      </c>
      <c r="N180">
        <v>0</v>
      </c>
      <c r="O180">
        <v>0</v>
      </c>
      <c r="P180" s="5">
        <f t="shared" si="6"/>
        <v>0</v>
      </c>
      <c r="Q180">
        <v>0</v>
      </c>
      <c r="R180">
        <v>0</v>
      </c>
      <c r="S180">
        <v>0</v>
      </c>
      <c r="T180">
        <v>0</v>
      </c>
      <c r="U180">
        <v>0</v>
      </c>
      <c r="V180">
        <v>0</v>
      </c>
      <c r="W180">
        <v>0</v>
      </c>
      <c r="X180" s="5">
        <f t="shared" si="7"/>
        <v>0</v>
      </c>
      <c r="Y180">
        <v>0</v>
      </c>
      <c r="Z180">
        <v>0</v>
      </c>
      <c r="AA180">
        <v>0</v>
      </c>
      <c r="AB180">
        <v>0</v>
      </c>
      <c r="AC180">
        <v>0</v>
      </c>
      <c r="AD180">
        <v>0</v>
      </c>
      <c r="AE180">
        <v>0</v>
      </c>
      <c r="AF180" s="11">
        <f t="shared" si="8"/>
        <v>0</v>
      </c>
      <c r="AG180">
        <v>0</v>
      </c>
      <c r="AH180">
        <v>0</v>
      </c>
      <c r="AI180" t="s">
        <v>764</v>
      </c>
      <c r="AK180" t="s">
        <v>2020</v>
      </c>
    </row>
    <row r="181" spans="1:37" x14ac:dyDescent="0.25">
      <c r="A181">
        <v>1583</v>
      </c>
      <c r="B181" t="s">
        <v>43</v>
      </c>
      <c r="C181" t="s">
        <v>2018</v>
      </c>
      <c r="D181" t="s">
        <v>220</v>
      </c>
      <c r="E181" s="5">
        <v>1342</v>
      </c>
      <c r="F181" t="s">
        <v>817</v>
      </c>
      <c r="G181">
        <v>20</v>
      </c>
      <c r="H181">
        <f>1/6</f>
        <v>0.16666666666666666</v>
      </c>
      <c r="I181">
        <v>0</v>
      </c>
      <c r="J181">
        <v>0</v>
      </c>
      <c r="K181">
        <v>0</v>
      </c>
      <c r="L181">
        <v>0</v>
      </c>
      <c r="M181">
        <v>0</v>
      </c>
      <c r="N181">
        <v>0</v>
      </c>
      <c r="O181">
        <v>0</v>
      </c>
      <c r="P181" s="5">
        <f t="shared" si="6"/>
        <v>0</v>
      </c>
      <c r="Q181">
        <v>0</v>
      </c>
      <c r="R181">
        <v>0</v>
      </c>
      <c r="S181">
        <v>0</v>
      </c>
      <c r="T181">
        <v>0</v>
      </c>
      <c r="U181">
        <v>0</v>
      </c>
      <c r="V181">
        <v>0</v>
      </c>
      <c r="W181">
        <v>0</v>
      </c>
      <c r="X181" s="5">
        <f t="shared" si="7"/>
        <v>0</v>
      </c>
      <c r="Y181">
        <v>0</v>
      </c>
      <c r="Z181">
        <v>0</v>
      </c>
      <c r="AA181">
        <v>0</v>
      </c>
      <c r="AB181">
        <v>0</v>
      </c>
      <c r="AC181">
        <v>0</v>
      </c>
      <c r="AD181">
        <v>0</v>
      </c>
      <c r="AE181">
        <v>0</v>
      </c>
      <c r="AF181" s="11">
        <f t="shared" si="8"/>
        <v>0</v>
      </c>
      <c r="AG181">
        <v>0</v>
      </c>
      <c r="AH181">
        <v>0</v>
      </c>
      <c r="AI181" t="s">
        <v>764</v>
      </c>
      <c r="AK181" t="s">
        <v>2771</v>
      </c>
    </row>
    <row r="182" spans="1:37" x14ac:dyDescent="0.25">
      <c r="A182">
        <v>1601</v>
      </c>
      <c r="B182" t="s">
        <v>50</v>
      </c>
      <c r="C182" t="s">
        <v>139</v>
      </c>
      <c r="D182" t="s">
        <v>219</v>
      </c>
      <c r="E182" s="5">
        <v>1342</v>
      </c>
      <c r="F182" t="s">
        <v>817</v>
      </c>
      <c r="G182">
        <v>20</v>
      </c>
      <c r="H182">
        <v>0</v>
      </c>
      <c r="I182">
        <v>0</v>
      </c>
      <c r="J182">
        <v>0</v>
      </c>
      <c r="K182">
        <v>0</v>
      </c>
      <c r="L182">
        <v>0</v>
      </c>
      <c r="M182">
        <f>1/2</f>
        <v>0.5</v>
      </c>
      <c r="N182">
        <v>0</v>
      </c>
      <c r="O182">
        <v>0</v>
      </c>
      <c r="P182" s="5">
        <f t="shared" si="6"/>
        <v>2.4375</v>
      </c>
      <c r="Q182">
        <v>0</v>
      </c>
      <c r="R182">
        <v>0</v>
      </c>
      <c r="S182">
        <v>0</v>
      </c>
      <c r="T182">
        <v>0</v>
      </c>
      <c r="U182">
        <v>0</v>
      </c>
      <c r="V182">
        <v>0</v>
      </c>
      <c r="W182">
        <v>0</v>
      </c>
      <c r="X182" s="5">
        <f t="shared" si="7"/>
        <v>0</v>
      </c>
      <c r="Y182">
        <v>0</v>
      </c>
      <c r="Z182">
        <v>0</v>
      </c>
      <c r="AA182">
        <v>0</v>
      </c>
      <c r="AB182">
        <v>0</v>
      </c>
      <c r="AC182">
        <v>0</v>
      </c>
      <c r="AD182">
        <v>0</v>
      </c>
      <c r="AE182">
        <v>0</v>
      </c>
      <c r="AF182" s="11">
        <f t="shared" si="8"/>
        <v>0</v>
      </c>
      <c r="AG182">
        <v>0</v>
      </c>
      <c r="AH182">
        <v>0</v>
      </c>
      <c r="AI182" t="s">
        <v>2824</v>
      </c>
    </row>
    <row r="183" spans="1:37" x14ac:dyDescent="0.25">
      <c r="A183">
        <v>1622</v>
      </c>
      <c r="B183" t="s">
        <v>13</v>
      </c>
      <c r="C183" t="s">
        <v>2830</v>
      </c>
      <c r="D183" t="s">
        <v>219</v>
      </c>
      <c r="E183" s="5">
        <v>1343</v>
      </c>
      <c r="F183" t="s">
        <v>249</v>
      </c>
      <c r="G183">
        <v>4</v>
      </c>
      <c r="H183">
        <v>0</v>
      </c>
      <c r="I183">
        <v>0</v>
      </c>
      <c r="J183">
        <v>0</v>
      </c>
      <c r="K183">
        <v>0</v>
      </c>
      <c r="L183">
        <v>0</v>
      </c>
      <c r="M183">
        <v>0</v>
      </c>
      <c r="N183">
        <v>0</v>
      </c>
      <c r="O183">
        <v>0</v>
      </c>
      <c r="P183" s="5">
        <f t="shared" si="6"/>
        <v>0</v>
      </c>
      <c r="Q183">
        <v>0</v>
      </c>
      <c r="R183">
        <v>0</v>
      </c>
      <c r="S183">
        <v>0</v>
      </c>
      <c r="T183">
        <v>0</v>
      </c>
      <c r="U183">
        <v>0</v>
      </c>
      <c r="V183">
        <v>0</v>
      </c>
      <c r="W183">
        <v>0</v>
      </c>
      <c r="X183" s="5">
        <f t="shared" si="7"/>
        <v>0</v>
      </c>
      <c r="Y183">
        <v>0</v>
      </c>
      <c r="Z183">
        <v>0</v>
      </c>
      <c r="AA183">
        <v>0</v>
      </c>
      <c r="AB183">
        <f>5/12</f>
        <v>0.41666666666666669</v>
      </c>
      <c r="AC183">
        <v>0</v>
      </c>
      <c r="AD183">
        <v>0</v>
      </c>
      <c r="AE183">
        <v>0</v>
      </c>
      <c r="AF183" s="11">
        <f t="shared" si="8"/>
        <v>0.41666666666666669</v>
      </c>
      <c r="AG183">
        <v>0</v>
      </c>
      <c r="AH183">
        <v>0</v>
      </c>
      <c r="AI183" t="s">
        <v>2876</v>
      </c>
    </row>
    <row r="184" spans="1:37" x14ac:dyDescent="0.25">
      <c r="A184">
        <v>1623</v>
      </c>
      <c r="B184" t="s">
        <v>2114</v>
      </c>
      <c r="C184" t="s">
        <v>2830</v>
      </c>
      <c r="D184" t="s">
        <v>219</v>
      </c>
      <c r="E184" s="5">
        <v>1343</v>
      </c>
      <c r="F184" t="s">
        <v>249</v>
      </c>
      <c r="G184">
        <v>4</v>
      </c>
      <c r="H184">
        <v>0</v>
      </c>
      <c r="I184">
        <v>0</v>
      </c>
      <c r="J184">
        <v>0</v>
      </c>
      <c r="K184">
        <v>0</v>
      </c>
      <c r="L184">
        <v>0</v>
      </c>
      <c r="M184">
        <v>0</v>
      </c>
      <c r="N184">
        <v>0</v>
      </c>
      <c r="O184">
        <v>0</v>
      </c>
      <c r="P184" s="5">
        <f t="shared" si="6"/>
        <v>0</v>
      </c>
      <c r="Q184">
        <v>0</v>
      </c>
      <c r="R184">
        <v>0</v>
      </c>
      <c r="S184">
        <v>0</v>
      </c>
      <c r="T184">
        <v>0</v>
      </c>
      <c r="U184">
        <v>0</v>
      </c>
      <c r="V184">
        <v>0</v>
      </c>
      <c r="W184">
        <v>0</v>
      </c>
      <c r="X184" s="5">
        <f t="shared" si="7"/>
        <v>0</v>
      </c>
      <c r="Y184">
        <v>0</v>
      </c>
      <c r="Z184">
        <v>0</v>
      </c>
      <c r="AA184">
        <v>0</v>
      </c>
      <c r="AB184">
        <f>2/12</f>
        <v>0.16666666666666666</v>
      </c>
      <c r="AC184">
        <v>0</v>
      </c>
      <c r="AD184">
        <v>0</v>
      </c>
      <c r="AE184">
        <v>0</v>
      </c>
      <c r="AF184" s="11">
        <f t="shared" si="8"/>
        <v>0.16666666666666666</v>
      </c>
      <c r="AG184">
        <v>0</v>
      </c>
      <c r="AH184">
        <v>0</v>
      </c>
      <c r="AI184" t="s">
        <v>791</v>
      </c>
      <c r="AK184" t="s">
        <v>2881</v>
      </c>
    </row>
    <row r="185" spans="1:37" x14ac:dyDescent="0.25">
      <c r="A185">
        <v>1721</v>
      </c>
      <c r="B185" t="s">
        <v>19</v>
      </c>
      <c r="C185" t="s">
        <v>1810</v>
      </c>
      <c r="D185" t="s">
        <v>219</v>
      </c>
      <c r="E185" s="5">
        <v>1343</v>
      </c>
      <c r="F185" t="s">
        <v>249</v>
      </c>
      <c r="G185">
        <v>17</v>
      </c>
      <c r="H185">
        <v>0</v>
      </c>
      <c r="I185">
        <v>0</v>
      </c>
      <c r="J185">
        <v>0</v>
      </c>
      <c r="K185">
        <v>0</v>
      </c>
      <c r="L185">
        <v>0</v>
      </c>
      <c r="M185">
        <v>0</v>
      </c>
      <c r="N185">
        <v>0</v>
      </c>
      <c r="O185">
        <v>0</v>
      </c>
      <c r="P185" s="5">
        <f t="shared" si="6"/>
        <v>0</v>
      </c>
      <c r="Q185">
        <v>0</v>
      </c>
      <c r="R185">
        <v>0</v>
      </c>
      <c r="S185">
        <v>0</v>
      </c>
      <c r="T185">
        <v>0</v>
      </c>
      <c r="U185">
        <v>0</v>
      </c>
      <c r="V185">
        <v>0</v>
      </c>
      <c r="W185">
        <v>0</v>
      </c>
      <c r="X185" s="5">
        <f t="shared" si="7"/>
        <v>0</v>
      </c>
      <c r="Y185">
        <v>0</v>
      </c>
      <c r="Z185">
        <v>0</v>
      </c>
      <c r="AA185">
        <v>0</v>
      </c>
      <c r="AB185">
        <f>4/12</f>
        <v>0.33333333333333331</v>
      </c>
      <c r="AC185">
        <v>0</v>
      </c>
      <c r="AD185">
        <v>0</v>
      </c>
      <c r="AE185">
        <v>0</v>
      </c>
      <c r="AF185" s="11">
        <f t="shared" si="8"/>
        <v>0.33333333333333331</v>
      </c>
      <c r="AG185">
        <v>0</v>
      </c>
      <c r="AH185">
        <v>0</v>
      </c>
      <c r="AI185" t="s">
        <v>3073</v>
      </c>
      <c r="AK185" t="s">
        <v>3074</v>
      </c>
    </row>
    <row r="186" spans="1:37" x14ac:dyDescent="0.25">
      <c r="A186">
        <v>1722</v>
      </c>
      <c r="B186" t="s">
        <v>13</v>
      </c>
      <c r="C186" t="s">
        <v>3081</v>
      </c>
      <c r="D186" t="s">
        <v>219</v>
      </c>
      <c r="E186" s="5">
        <v>1343</v>
      </c>
      <c r="F186" t="s">
        <v>249</v>
      </c>
      <c r="G186">
        <v>23</v>
      </c>
      <c r="H186">
        <v>0</v>
      </c>
      <c r="I186">
        <v>0</v>
      </c>
      <c r="J186">
        <v>0</v>
      </c>
      <c r="K186">
        <v>0</v>
      </c>
      <c r="L186">
        <v>0</v>
      </c>
      <c r="M186">
        <v>0</v>
      </c>
      <c r="N186">
        <v>0</v>
      </c>
      <c r="O186">
        <v>0</v>
      </c>
      <c r="P186" s="5">
        <f t="shared" si="6"/>
        <v>0</v>
      </c>
      <c r="Q186">
        <v>0</v>
      </c>
      <c r="R186">
        <v>0</v>
      </c>
      <c r="S186">
        <v>0</v>
      </c>
      <c r="T186">
        <v>0</v>
      </c>
      <c r="U186">
        <v>0</v>
      </c>
      <c r="V186">
        <v>0</v>
      </c>
      <c r="W186">
        <v>0</v>
      </c>
      <c r="X186" s="5">
        <f t="shared" si="7"/>
        <v>0</v>
      </c>
      <c r="Y186">
        <v>0</v>
      </c>
      <c r="Z186">
        <v>0</v>
      </c>
      <c r="AA186">
        <v>0</v>
      </c>
      <c r="AB186">
        <f>5/12</f>
        <v>0.41666666666666669</v>
      </c>
      <c r="AC186">
        <v>0</v>
      </c>
      <c r="AD186">
        <v>0</v>
      </c>
      <c r="AE186">
        <v>0</v>
      </c>
      <c r="AF186" s="11">
        <f t="shared" si="8"/>
        <v>0.41666666666666669</v>
      </c>
      <c r="AG186">
        <v>0</v>
      </c>
      <c r="AH186">
        <v>0</v>
      </c>
      <c r="AI186" t="s">
        <v>3089</v>
      </c>
    </row>
    <row r="187" spans="1:37" x14ac:dyDescent="0.25">
      <c r="A187">
        <v>1751</v>
      </c>
      <c r="B187" t="s">
        <v>3152</v>
      </c>
      <c r="C187" t="s">
        <v>2653</v>
      </c>
      <c r="D187" t="s">
        <v>220</v>
      </c>
      <c r="E187" s="5">
        <v>1343</v>
      </c>
      <c r="F187" t="s">
        <v>383</v>
      </c>
      <c r="G187">
        <v>12</v>
      </c>
      <c r="H187">
        <f>1/2</f>
        <v>0.5</v>
      </c>
      <c r="I187">
        <v>0</v>
      </c>
      <c r="J187">
        <v>0</v>
      </c>
      <c r="K187">
        <v>0</v>
      </c>
      <c r="L187">
        <v>0</v>
      </c>
      <c r="M187">
        <v>0</v>
      </c>
      <c r="N187">
        <v>0</v>
      </c>
      <c r="O187">
        <v>0</v>
      </c>
      <c r="P187" s="5">
        <f t="shared" si="6"/>
        <v>0</v>
      </c>
      <c r="Q187">
        <v>0</v>
      </c>
      <c r="R187">
        <v>0</v>
      </c>
      <c r="S187">
        <v>0</v>
      </c>
      <c r="T187">
        <v>0</v>
      </c>
      <c r="U187">
        <v>0</v>
      </c>
      <c r="V187">
        <v>0</v>
      </c>
      <c r="W187">
        <v>0</v>
      </c>
      <c r="X187" s="5">
        <f t="shared" si="7"/>
        <v>0</v>
      </c>
      <c r="Y187">
        <v>0</v>
      </c>
      <c r="Z187">
        <v>0</v>
      </c>
      <c r="AA187">
        <v>0</v>
      </c>
      <c r="AB187">
        <v>0</v>
      </c>
      <c r="AC187">
        <v>0</v>
      </c>
      <c r="AD187">
        <v>0</v>
      </c>
      <c r="AE187">
        <v>0</v>
      </c>
      <c r="AF187" s="11">
        <f t="shared" si="8"/>
        <v>0</v>
      </c>
      <c r="AG187">
        <v>0</v>
      </c>
      <c r="AH187">
        <v>0</v>
      </c>
      <c r="AI187" t="s">
        <v>389</v>
      </c>
      <c r="AK187" t="s">
        <v>1903</v>
      </c>
    </row>
    <row r="188" spans="1:37" x14ac:dyDescent="0.25">
      <c r="A188">
        <v>1751</v>
      </c>
      <c r="B188" t="s">
        <v>3152</v>
      </c>
      <c r="C188" t="s">
        <v>2653</v>
      </c>
      <c r="D188" t="s">
        <v>220</v>
      </c>
      <c r="E188" s="5">
        <v>1343</v>
      </c>
      <c r="F188" t="s">
        <v>383</v>
      </c>
      <c r="G188">
        <v>12</v>
      </c>
      <c r="H188">
        <v>0</v>
      </c>
      <c r="I188">
        <v>0</v>
      </c>
      <c r="J188">
        <v>0</v>
      </c>
      <c r="K188">
        <v>0</v>
      </c>
      <c r="L188">
        <v>0</v>
      </c>
      <c r="M188">
        <v>0</v>
      </c>
      <c r="N188">
        <v>0</v>
      </c>
      <c r="O188">
        <v>0</v>
      </c>
      <c r="P188" s="5">
        <f t="shared" si="6"/>
        <v>0</v>
      </c>
      <c r="Q188">
        <v>0</v>
      </c>
      <c r="R188">
        <v>0</v>
      </c>
      <c r="S188">
        <v>0</v>
      </c>
      <c r="T188">
        <f>1/2</f>
        <v>0.5</v>
      </c>
      <c r="U188">
        <v>0</v>
      </c>
      <c r="V188">
        <v>0</v>
      </c>
      <c r="W188">
        <v>0</v>
      </c>
      <c r="X188" s="5">
        <f t="shared" si="7"/>
        <v>2.4375</v>
      </c>
      <c r="Y188">
        <v>0</v>
      </c>
      <c r="Z188">
        <v>0</v>
      </c>
      <c r="AA188">
        <v>0</v>
      </c>
      <c r="AB188">
        <v>0</v>
      </c>
      <c r="AC188">
        <v>0</v>
      </c>
      <c r="AD188">
        <v>0</v>
      </c>
      <c r="AE188">
        <v>0</v>
      </c>
      <c r="AF188" s="11">
        <f t="shared" si="8"/>
        <v>0</v>
      </c>
      <c r="AG188">
        <v>0</v>
      </c>
      <c r="AH188">
        <v>0</v>
      </c>
      <c r="AI188" t="s">
        <v>3157</v>
      </c>
    </row>
    <row r="189" spans="1:37" x14ac:dyDescent="0.25">
      <c r="A189">
        <v>1751</v>
      </c>
      <c r="B189" t="s">
        <v>3152</v>
      </c>
      <c r="C189" t="s">
        <v>2653</v>
      </c>
      <c r="D189" t="s">
        <v>220</v>
      </c>
      <c r="E189" s="5">
        <v>1343</v>
      </c>
      <c r="F189" t="s">
        <v>383</v>
      </c>
      <c r="G189">
        <v>12</v>
      </c>
      <c r="H189">
        <v>0</v>
      </c>
      <c r="I189">
        <v>0</v>
      </c>
      <c r="J189">
        <v>0</v>
      </c>
      <c r="K189">
        <v>0</v>
      </c>
      <c r="L189">
        <v>0</v>
      </c>
      <c r="M189">
        <v>0</v>
      </c>
      <c r="N189">
        <v>0</v>
      </c>
      <c r="O189">
        <v>0</v>
      </c>
      <c r="P189" s="5">
        <f t="shared" si="6"/>
        <v>0</v>
      </c>
      <c r="Q189">
        <v>0</v>
      </c>
      <c r="R189">
        <v>0</v>
      </c>
      <c r="S189">
        <v>0</v>
      </c>
      <c r="T189">
        <v>0</v>
      </c>
      <c r="U189">
        <v>0</v>
      </c>
      <c r="V189">
        <v>0</v>
      </c>
      <c r="W189">
        <v>0</v>
      </c>
      <c r="X189" s="5">
        <f t="shared" si="7"/>
        <v>0</v>
      </c>
      <c r="Y189">
        <v>0</v>
      </c>
      <c r="Z189">
        <v>0</v>
      </c>
      <c r="AA189">
        <v>0</v>
      </c>
      <c r="AB189">
        <v>3</v>
      </c>
      <c r="AC189">
        <v>0</v>
      </c>
      <c r="AD189">
        <f>1+1/3</f>
        <v>1.3333333333333333</v>
      </c>
      <c r="AE189">
        <v>0</v>
      </c>
      <c r="AF189" s="11">
        <f t="shared" si="8"/>
        <v>3.0555555555555554</v>
      </c>
      <c r="AG189">
        <v>0</v>
      </c>
      <c r="AH189">
        <v>0</v>
      </c>
      <c r="AI189" t="s">
        <v>3161</v>
      </c>
    </row>
    <row r="190" spans="1:37" x14ac:dyDescent="0.25">
      <c r="A190">
        <v>1751</v>
      </c>
      <c r="B190" t="s">
        <v>3152</v>
      </c>
      <c r="C190" t="s">
        <v>2653</v>
      </c>
      <c r="D190" t="s">
        <v>220</v>
      </c>
      <c r="E190" s="5">
        <v>1343</v>
      </c>
      <c r="F190" t="s">
        <v>383</v>
      </c>
      <c r="G190">
        <v>12</v>
      </c>
      <c r="H190">
        <v>0</v>
      </c>
      <c r="I190">
        <v>0</v>
      </c>
      <c r="J190">
        <v>0</v>
      </c>
      <c r="K190">
        <v>0</v>
      </c>
      <c r="L190">
        <v>0</v>
      </c>
      <c r="M190">
        <v>0</v>
      </c>
      <c r="N190">
        <v>0</v>
      </c>
      <c r="O190">
        <v>0</v>
      </c>
      <c r="P190" s="5">
        <f t="shared" si="6"/>
        <v>0</v>
      </c>
      <c r="Q190">
        <v>0</v>
      </c>
      <c r="R190">
        <v>0</v>
      </c>
      <c r="S190">
        <v>0</v>
      </c>
      <c r="T190">
        <v>0</v>
      </c>
      <c r="U190">
        <v>0</v>
      </c>
      <c r="V190">
        <v>0</v>
      </c>
      <c r="W190">
        <v>0</v>
      </c>
      <c r="X190" s="5">
        <f t="shared" si="7"/>
        <v>0</v>
      </c>
      <c r="Y190">
        <v>0</v>
      </c>
      <c r="Z190">
        <v>0</v>
      </c>
      <c r="AA190">
        <v>0</v>
      </c>
      <c r="AB190">
        <f>10/12</f>
        <v>0.83333333333333337</v>
      </c>
      <c r="AC190">
        <v>0</v>
      </c>
      <c r="AD190">
        <v>0</v>
      </c>
      <c r="AE190">
        <v>0</v>
      </c>
      <c r="AF190" s="11">
        <f t="shared" si="8"/>
        <v>0.83333333333333337</v>
      </c>
      <c r="AG190">
        <v>0</v>
      </c>
      <c r="AH190">
        <v>0</v>
      </c>
      <c r="AI190" t="s">
        <v>3164</v>
      </c>
      <c r="AJ190" t="s">
        <v>1248</v>
      </c>
    </row>
    <row r="191" spans="1:37" x14ac:dyDescent="0.25">
      <c r="A191">
        <v>1751</v>
      </c>
      <c r="B191" t="s">
        <v>3152</v>
      </c>
      <c r="C191" t="s">
        <v>2653</v>
      </c>
      <c r="D191" t="s">
        <v>220</v>
      </c>
      <c r="E191" s="5">
        <v>1343</v>
      </c>
      <c r="F191" t="s">
        <v>383</v>
      </c>
      <c r="G191">
        <v>12</v>
      </c>
      <c r="H191">
        <v>0</v>
      </c>
      <c r="I191">
        <v>0</v>
      </c>
      <c r="J191">
        <v>0</v>
      </c>
      <c r="K191">
        <v>0</v>
      </c>
      <c r="L191">
        <v>0</v>
      </c>
      <c r="M191">
        <f>1+1/2</f>
        <v>1.5</v>
      </c>
      <c r="N191">
        <v>0</v>
      </c>
      <c r="O191">
        <v>0</v>
      </c>
      <c r="P191" s="5">
        <f t="shared" si="6"/>
        <v>7.3125</v>
      </c>
      <c r="Q191">
        <v>0</v>
      </c>
      <c r="R191">
        <v>0</v>
      </c>
      <c r="S191">
        <v>0</v>
      </c>
      <c r="T191">
        <f>1/2</f>
        <v>0.5</v>
      </c>
      <c r="U191">
        <v>0</v>
      </c>
      <c r="V191">
        <v>0</v>
      </c>
      <c r="W191">
        <v>0</v>
      </c>
      <c r="X191" s="5">
        <f t="shared" si="7"/>
        <v>2.4375</v>
      </c>
      <c r="Y191">
        <v>0</v>
      </c>
      <c r="Z191">
        <v>0</v>
      </c>
      <c r="AA191">
        <v>0</v>
      </c>
      <c r="AB191">
        <v>0</v>
      </c>
      <c r="AC191">
        <v>0</v>
      </c>
      <c r="AD191">
        <v>0</v>
      </c>
      <c r="AE191">
        <v>0</v>
      </c>
      <c r="AF191" s="11">
        <f t="shared" si="8"/>
        <v>0</v>
      </c>
      <c r="AG191">
        <v>0</v>
      </c>
      <c r="AH191">
        <v>0</v>
      </c>
      <c r="AI191" t="s">
        <v>725</v>
      </c>
    </row>
    <row r="192" spans="1:37" x14ac:dyDescent="0.25">
      <c r="A192">
        <v>1751</v>
      </c>
      <c r="B192" t="s">
        <v>3152</v>
      </c>
      <c r="C192" t="s">
        <v>2653</v>
      </c>
      <c r="D192" t="s">
        <v>220</v>
      </c>
      <c r="E192" s="5">
        <v>1343</v>
      </c>
      <c r="F192" t="s">
        <v>383</v>
      </c>
      <c r="G192">
        <v>12</v>
      </c>
      <c r="H192">
        <v>0</v>
      </c>
      <c r="I192">
        <v>0</v>
      </c>
      <c r="J192">
        <v>0</v>
      </c>
      <c r="K192">
        <v>0</v>
      </c>
      <c r="L192">
        <v>0</v>
      </c>
      <c r="M192">
        <v>0</v>
      </c>
      <c r="N192">
        <v>0</v>
      </c>
      <c r="O192">
        <v>0</v>
      </c>
      <c r="P192" s="5">
        <f t="shared" si="6"/>
        <v>0</v>
      </c>
      <c r="Q192">
        <v>0</v>
      </c>
      <c r="R192">
        <v>0</v>
      </c>
      <c r="S192">
        <v>0</v>
      </c>
      <c r="T192">
        <v>0</v>
      </c>
      <c r="U192">
        <v>0</v>
      </c>
      <c r="V192">
        <v>0</v>
      </c>
      <c r="W192">
        <v>0</v>
      </c>
      <c r="X192" s="5">
        <f t="shared" si="7"/>
        <v>0</v>
      </c>
      <c r="Y192">
        <v>0</v>
      </c>
      <c r="Z192">
        <v>0</v>
      </c>
      <c r="AA192">
        <v>0</v>
      </c>
      <c r="AB192">
        <f>8/12</f>
        <v>0.66666666666666663</v>
      </c>
      <c r="AC192">
        <v>0</v>
      </c>
      <c r="AD192">
        <v>0</v>
      </c>
      <c r="AE192">
        <v>0</v>
      </c>
      <c r="AF192" s="11">
        <f t="shared" si="8"/>
        <v>0.66666666666666663</v>
      </c>
      <c r="AG192">
        <v>0</v>
      </c>
      <c r="AH192">
        <v>0</v>
      </c>
      <c r="AI192" t="s">
        <v>3174</v>
      </c>
    </row>
    <row r="193" spans="1:38" x14ac:dyDescent="0.25">
      <c r="A193">
        <v>1761</v>
      </c>
      <c r="B193" t="s">
        <v>13</v>
      </c>
      <c r="C193" t="s">
        <v>2661</v>
      </c>
      <c r="D193" t="s">
        <v>219</v>
      </c>
      <c r="E193" s="5">
        <v>1343</v>
      </c>
      <c r="F193" t="s">
        <v>1082</v>
      </c>
      <c r="G193">
        <v>26</v>
      </c>
      <c r="H193">
        <v>0</v>
      </c>
      <c r="I193">
        <v>0</v>
      </c>
      <c r="J193">
        <v>0</v>
      </c>
      <c r="K193">
        <v>0</v>
      </c>
      <c r="L193">
        <v>1</v>
      </c>
      <c r="M193">
        <v>0</v>
      </c>
      <c r="N193">
        <v>0</v>
      </c>
      <c r="O193">
        <v>0</v>
      </c>
      <c r="P193" s="5">
        <f t="shared" si="6"/>
        <v>19.5</v>
      </c>
      <c r="Q193">
        <v>0</v>
      </c>
      <c r="R193">
        <v>0</v>
      </c>
      <c r="S193">
        <v>1</v>
      </c>
      <c r="T193">
        <v>0</v>
      </c>
      <c r="U193">
        <v>0</v>
      </c>
      <c r="V193">
        <v>0</v>
      </c>
      <c r="W193">
        <v>0</v>
      </c>
      <c r="X193" s="5">
        <f t="shared" si="7"/>
        <v>19.5</v>
      </c>
      <c r="Y193">
        <v>0</v>
      </c>
      <c r="Z193">
        <v>0</v>
      </c>
      <c r="AA193">
        <v>0</v>
      </c>
      <c r="AB193">
        <v>0</v>
      </c>
      <c r="AC193">
        <v>0</v>
      </c>
      <c r="AD193">
        <v>0</v>
      </c>
      <c r="AE193">
        <v>0</v>
      </c>
      <c r="AF193" s="11">
        <f t="shared" si="8"/>
        <v>0</v>
      </c>
      <c r="AG193">
        <v>0</v>
      </c>
      <c r="AH193">
        <v>0</v>
      </c>
      <c r="AI193" t="s">
        <v>725</v>
      </c>
      <c r="AK193" t="s">
        <v>3176</v>
      </c>
    </row>
    <row r="194" spans="1:38" x14ac:dyDescent="0.25">
      <c r="A194">
        <v>1761</v>
      </c>
      <c r="B194" t="s">
        <v>13</v>
      </c>
      <c r="C194" t="s">
        <v>2661</v>
      </c>
      <c r="D194" t="s">
        <v>219</v>
      </c>
      <c r="E194" s="5">
        <v>1343</v>
      </c>
      <c r="F194" t="s">
        <v>1082</v>
      </c>
      <c r="G194">
        <v>26</v>
      </c>
      <c r="H194">
        <v>0</v>
      </c>
      <c r="I194">
        <v>0</v>
      </c>
      <c r="J194">
        <v>0</v>
      </c>
      <c r="K194">
        <v>0</v>
      </c>
      <c r="L194">
        <v>0</v>
      </c>
      <c r="M194">
        <v>1</v>
      </c>
      <c r="N194">
        <v>0</v>
      </c>
      <c r="O194">
        <v>0</v>
      </c>
      <c r="P194" s="5">
        <f t="shared" si="6"/>
        <v>4.875</v>
      </c>
      <c r="Q194">
        <v>0</v>
      </c>
      <c r="R194">
        <v>0</v>
      </c>
      <c r="S194">
        <v>0</v>
      </c>
      <c r="T194">
        <f>1/2</f>
        <v>0.5</v>
      </c>
      <c r="U194">
        <v>0</v>
      </c>
      <c r="V194">
        <v>0</v>
      </c>
      <c r="W194">
        <v>0</v>
      </c>
      <c r="X194" s="5">
        <f t="shared" si="7"/>
        <v>2.4375</v>
      </c>
      <c r="Y194">
        <v>0</v>
      </c>
      <c r="Z194">
        <v>0</v>
      </c>
      <c r="AA194">
        <v>0</v>
      </c>
      <c r="AB194">
        <v>0</v>
      </c>
      <c r="AC194">
        <v>0</v>
      </c>
      <c r="AD194">
        <v>0</v>
      </c>
      <c r="AE194">
        <v>0</v>
      </c>
      <c r="AF194" s="11">
        <f t="shared" si="8"/>
        <v>0</v>
      </c>
      <c r="AG194">
        <v>0</v>
      </c>
      <c r="AH194">
        <v>0</v>
      </c>
      <c r="AI194" t="s">
        <v>791</v>
      </c>
    </row>
    <row r="195" spans="1:38" x14ac:dyDescent="0.25">
      <c r="A195">
        <v>1761</v>
      </c>
      <c r="B195" t="s">
        <v>13</v>
      </c>
      <c r="C195" t="s">
        <v>2661</v>
      </c>
      <c r="D195" t="s">
        <v>219</v>
      </c>
      <c r="E195" s="5">
        <v>1343</v>
      </c>
      <c r="F195" t="s">
        <v>1082</v>
      </c>
      <c r="G195">
        <v>26</v>
      </c>
      <c r="H195">
        <v>0</v>
      </c>
      <c r="I195">
        <v>0</v>
      </c>
      <c r="J195">
        <v>0</v>
      </c>
      <c r="K195">
        <v>0</v>
      </c>
      <c r="L195">
        <v>0</v>
      </c>
      <c r="M195">
        <f>1/2</f>
        <v>0.5</v>
      </c>
      <c r="N195">
        <v>0</v>
      </c>
      <c r="O195">
        <v>0</v>
      </c>
      <c r="P195" s="5">
        <f t="shared" ref="P195:P221" si="9">(K195+L195/2+J195/4+M195/8+N195/16+O195/32)*39</f>
        <v>2.4375</v>
      </c>
      <c r="Q195">
        <v>0</v>
      </c>
      <c r="R195">
        <v>0</v>
      </c>
      <c r="S195">
        <v>0</v>
      </c>
      <c r="T195">
        <f>1/2</f>
        <v>0.5</v>
      </c>
      <c r="U195">
        <v>0</v>
      </c>
      <c r="V195">
        <v>0</v>
      </c>
      <c r="W195">
        <v>0</v>
      </c>
      <c r="X195" s="5">
        <f t="shared" ref="X195:X221" si="10">(R195+S195/2+V195/4+T195/8+U195/16+W195/32)*39</f>
        <v>2.4375</v>
      </c>
      <c r="Y195">
        <v>0</v>
      </c>
      <c r="Z195">
        <v>0</v>
      </c>
      <c r="AA195">
        <v>0</v>
      </c>
      <c r="AB195">
        <v>0</v>
      </c>
      <c r="AC195">
        <v>0</v>
      </c>
      <c r="AD195">
        <v>0</v>
      </c>
      <c r="AE195">
        <v>0</v>
      </c>
      <c r="AF195" s="11">
        <f t="shared" ref="AF195:AF221" si="11">AB195+AC195/48+AD195/24+AE195/48</f>
        <v>0</v>
      </c>
      <c r="AG195">
        <v>0</v>
      </c>
      <c r="AH195">
        <v>0</v>
      </c>
      <c r="AI195" t="s">
        <v>645</v>
      </c>
    </row>
    <row r="196" spans="1:38" x14ac:dyDescent="0.25">
      <c r="A196">
        <v>1761</v>
      </c>
      <c r="B196" t="s">
        <v>13</v>
      </c>
      <c r="C196" t="s">
        <v>2661</v>
      </c>
      <c r="D196" t="s">
        <v>219</v>
      </c>
      <c r="E196" s="5">
        <v>1343</v>
      </c>
      <c r="F196" t="s">
        <v>1082</v>
      </c>
      <c r="G196">
        <v>26</v>
      </c>
      <c r="H196">
        <v>0</v>
      </c>
      <c r="I196">
        <v>0</v>
      </c>
      <c r="J196">
        <v>0</v>
      </c>
      <c r="K196">
        <v>0</v>
      </c>
      <c r="L196">
        <v>0</v>
      </c>
      <c r="M196">
        <v>0</v>
      </c>
      <c r="N196">
        <v>0</v>
      </c>
      <c r="O196">
        <v>0</v>
      </c>
      <c r="P196" s="5">
        <f t="shared" si="9"/>
        <v>0</v>
      </c>
      <c r="Q196">
        <v>0</v>
      </c>
      <c r="R196">
        <v>0</v>
      </c>
      <c r="S196">
        <v>0</v>
      </c>
      <c r="T196">
        <v>0</v>
      </c>
      <c r="U196">
        <v>0</v>
      </c>
      <c r="V196">
        <v>0</v>
      </c>
      <c r="W196">
        <v>0</v>
      </c>
      <c r="X196" s="5">
        <f t="shared" si="10"/>
        <v>0</v>
      </c>
      <c r="Y196">
        <v>0</v>
      </c>
      <c r="Z196">
        <v>0</v>
      </c>
      <c r="AA196">
        <v>0</v>
      </c>
      <c r="AB196">
        <v>2</v>
      </c>
      <c r="AC196">
        <v>0</v>
      </c>
      <c r="AD196">
        <v>0</v>
      </c>
      <c r="AE196">
        <v>0</v>
      </c>
      <c r="AF196" s="11">
        <f t="shared" si="11"/>
        <v>2</v>
      </c>
      <c r="AG196">
        <v>0</v>
      </c>
      <c r="AH196">
        <v>0</v>
      </c>
      <c r="AI196" t="s">
        <v>3164</v>
      </c>
      <c r="AJ196" t="s">
        <v>3184</v>
      </c>
      <c r="AL196" t="s">
        <v>3182</v>
      </c>
    </row>
    <row r="197" spans="1:38" x14ac:dyDescent="0.25">
      <c r="A197">
        <v>1761</v>
      </c>
      <c r="B197" t="s">
        <v>13</v>
      </c>
      <c r="C197" t="s">
        <v>2661</v>
      </c>
      <c r="D197" t="s">
        <v>219</v>
      </c>
      <c r="E197" s="5">
        <v>1343</v>
      </c>
      <c r="F197" t="s">
        <v>1082</v>
      </c>
      <c r="G197">
        <v>26</v>
      </c>
      <c r="H197">
        <v>0</v>
      </c>
      <c r="I197">
        <v>0</v>
      </c>
      <c r="J197">
        <v>0</v>
      </c>
      <c r="K197">
        <v>0</v>
      </c>
      <c r="L197">
        <v>0</v>
      </c>
      <c r="M197">
        <v>0</v>
      </c>
      <c r="N197">
        <v>0</v>
      </c>
      <c r="O197">
        <v>0</v>
      </c>
      <c r="P197" s="5">
        <f t="shared" si="9"/>
        <v>0</v>
      </c>
      <c r="Q197">
        <v>0</v>
      </c>
      <c r="R197">
        <v>0</v>
      </c>
      <c r="S197">
        <v>0</v>
      </c>
      <c r="T197">
        <v>0</v>
      </c>
      <c r="U197">
        <v>0</v>
      </c>
      <c r="V197">
        <v>0</v>
      </c>
      <c r="W197">
        <v>0</v>
      </c>
      <c r="X197" s="5">
        <f t="shared" si="10"/>
        <v>0</v>
      </c>
      <c r="Y197">
        <v>0</v>
      </c>
      <c r="Z197">
        <v>0</v>
      </c>
      <c r="AA197">
        <v>0</v>
      </c>
      <c r="AB197">
        <f>6/12</f>
        <v>0.5</v>
      </c>
      <c r="AC197">
        <v>0</v>
      </c>
      <c r="AD197">
        <v>0</v>
      </c>
      <c r="AE197">
        <v>0</v>
      </c>
      <c r="AF197" s="11">
        <f t="shared" si="11"/>
        <v>0.5</v>
      </c>
      <c r="AG197">
        <v>0</v>
      </c>
      <c r="AH197">
        <v>0</v>
      </c>
      <c r="AI197" t="s">
        <v>3186</v>
      </c>
      <c r="AL197" t="s">
        <v>3182</v>
      </c>
    </row>
    <row r="198" spans="1:38" x14ac:dyDescent="0.25">
      <c r="A198">
        <v>1761</v>
      </c>
      <c r="B198" t="s">
        <v>13</v>
      </c>
      <c r="C198" t="s">
        <v>2661</v>
      </c>
      <c r="D198" t="s">
        <v>219</v>
      </c>
      <c r="E198" s="5">
        <v>1343</v>
      </c>
      <c r="F198" t="s">
        <v>1082</v>
      </c>
      <c r="G198">
        <v>26</v>
      </c>
      <c r="H198">
        <v>0</v>
      </c>
      <c r="I198">
        <v>0</v>
      </c>
      <c r="J198">
        <v>0</v>
      </c>
      <c r="K198">
        <v>0</v>
      </c>
      <c r="L198">
        <v>0</v>
      </c>
      <c r="M198">
        <v>0</v>
      </c>
      <c r="N198">
        <v>0</v>
      </c>
      <c r="O198">
        <v>0</v>
      </c>
      <c r="P198" s="5">
        <f t="shared" si="9"/>
        <v>0</v>
      </c>
      <c r="Q198">
        <v>0</v>
      </c>
      <c r="R198">
        <v>0</v>
      </c>
      <c r="S198">
        <v>0</v>
      </c>
      <c r="T198">
        <v>0</v>
      </c>
      <c r="U198">
        <v>0</v>
      </c>
      <c r="V198">
        <v>0</v>
      </c>
      <c r="W198">
        <v>0</v>
      </c>
      <c r="X198" s="5">
        <f t="shared" si="10"/>
        <v>0</v>
      </c>
      <c r="Y198">
        <v>0</v>
      </c>
      <c r="Z198">
        <v>0</v>
      </c>
      <c r="AA198">
        <v>0</v>
      </c>
      <c r="AB198">
        <f>6/12</f>
        <v>0.5</v>
      </c>
      <c r="AC198">
        <v>0</v>
      </c>
      <c r="AD198">
        <v>0</v>
      </c>
      <c r="AE198">
        <v>0</v>
      </c>
      <c r="AF198" s="11">
        <f t="shared" si="11"/>
        <v>0.5</v>
      </c>
      <c r="AG198">
        <v>0</v>
      </c>
      <c r="AH198">
        <v>0</v>
      </c>
      <c r="AI198" t="s">
        <v>3187</v>
      </c>
      <c r="AK198" t="s">
        <v>3188</v>
      </c>
      <c r="AL198" t="s">
        <v>3182</v>
      </c>
    </row>
    <row r="199" spans="1:38" x14ac:dyDescent="0.25">
      <c r="A199">
        <v>1761</v>
      </c>
      <c r="B199" t="s">
        <v>13</v>
      </c>
      <c r="C199" t="s">
        <v>2661</v>
      </c>
      <c r="D199" t="s">
        <v>219</v>
      </c>
      <c r="E199" s="5">
        <v>1343</v>
      </c>
      <c r="F199" t="s">
        <v>1082</v>
      </c>
      <c r="G199">
        <v>26</v>
      </c>
      <c r="H199">
        <v>0</v>
      </c>
      <c r="I199">
        <v>0</v>
      </c>
      <c r="J199">
        <v>0</v>
      </c>
      <c r="K199">
        <v>0</v>
      </c>
      <c r="L199">
        <v>0</v>
      </c>
      <c r="M199">
        <v>0</v>
      </c>
      <c r="N199">
        <v>0</v>
      </c>
      <c r="O199">
        <v>0</v>
      </c>
      <c r="P199" s="5">
        <f t="shared" si="9"/>
        <v>0</v>
      </c>
      <c r="Q199">
        <v>0</v>
      </c>
      <c r="R199">
        <v>0</v>
      </c>
      <c r="S199">
        <v>0</v>
      </c>
      <c r="T199">
        <v>0</v>
      </c>
      <c r="U199">
        <v>0</v>
      </c>
      <c r="V199">
        <v>0</v>
      </c>
      <c r="W199">
        <v>0</v>
      </c>
      <c r="X199" s="5">
        <f t="shared" si="10"/>
        <v>0</v>
      </c>
      <c r="Y199">
        <v>0</v>
      </c>
      <c r="Z199">
        <v>0</v>
      </c>
      <c r="AA199">
        <v>0</v>
      </c>
      <c r="AB199">
        <f>12/12</f>
        <v>1</v>
      </c>
      <c r="AC199">
        <v>0</v>
      </c>
      <c r="AD199">
        <v>0</v>
      </c>
      <c r="AE199">
        <v>0</v>
      </c>
      <c r="AF199" s="11">
        <f t="shared" si="11"/>
        <v>1</v>
      </c>
      <c r="AG199">
        <v>0</v>
      </c>
      <c r="AH199">
        <v>0</v>
      </c>
      <c r="AI199" t="s">
        <v>398</v>
      </c>
      <c r="AL199" t="s">
        <v>3182</v>
      </c>
    </row>
    <row r="200" spans="1:38" x14ac:dyDescent="0.25">
      <c r="A200">
        <v>1761</v>
      </c>
      <c r="B200" t="s">
        <v>13</v>
      </c>
      <c r="C200" t="s">
        <v>2661</v>
      </c>
      <c r="D200" t="s">
        <v>219</v>
      </c>
      <c r="E200" s="5">
        <v>1343</v>
      </c>
      <c r="F200" t="s">
        <v>1082</v>
      </c>
      <c r="G200">
        <v>26</v>
      </c>
      <c r="H200">
        <v>0</v>
      </c>
      <c r="I200">
        <v>0</v>
      </c>
      <c r="J200">
        <v>0</v>
      </c>
      <c r="K200">
        <v>0</v>
      </c>
      <c r="L200">
        <v>0</v>
      </c>
      <c r="M200">
        <v>0</v>
      </c>
      <c r="N200">
        <v>0</v>
      </c>
      <c r="O200">
        <v>0</v>
      </c>
      <c r="P200" s="5">
        <f t="shared" si="9"/>
        <v>0</v>
      </c>
      <c r="Q200">
        <v>0</v>
      </c>
      <c r="R200">
        <v>0</v>
      </c>
      <c r="S200">
        <v>0</v>
      </c>
      <c r="T200">
        <v>0</v>
      </c>
      <c r="U200">
        <v>0</v>
      </c>
      <c r="V200">
        <v>0</v>
      </c>
      <c r="W200">
        <v>0</v>
      </c>
      <c r="X200" s="5">
        <f t="shared" si="10"/>
        <v>0</v>
      </c>
      <c r="Y200">
        <v>0</v>
      </c>
      <c r="Z200">
        <v>0</v>
      </c>
      <c r="AA200">
        <v>0</v>
      </c>
      <c r="AB200">
        <f>12/12</f>
        <v>1</v>
      </c>
      <c r="AC200">
        <v>0</v>
      </c>
      <c r="AD200">
        <v>0</v>
      </c>
      <c r="AE200">
        <v>0</v>
      </c>
      <c r="AF200" s="11">
        <f t="shared" si="11"/>
        <v>1</v>
      </c>
      <c r="AG200">
        <v>0</v>
      </c>
      <c r="AH200">
        <v>0</v>
      </c>
      <c r="AI200" t="s">
        <v>398</v>
      </c>
      <c r="AK200" t="s">
        <v>3189</v>
      </c>
      <c r="AL200" t="s">
        <v>3182</v>
      </c>
    </row>
    <row r="201" spans="1:38" x14ac:dyDescent="0.25">
      <c r="A201">
        <v>1761</v>
      </c>
      <c r="B201" t="s">
        <v>13</v>
      </c>
      <c r="C201" t="s">
        <v>2661</v>
      </c>
      <c r="D201" t="s">
        <v>219</v>
      </c>
      <c r="E201" s="5">
        <v>1343</v>
      </c>
      <c r="F201" t="s">
        <v>1082</v>
      </c>
      <c r="G201">
        <v>26</v>
      </c>
      <c r="H201">
        <v>0</v>
      </c>
      <c r="I201">
        <v>0</v>
      </c>
      <c r="J201">
        <v>0</v>
      </c>
      <c r="K201">
        <v>0</v>
      </c>
      <c r="L201">
        <v>0</v>
      </c>
      <c r="M201">
        <v>0</v>
      </c>
      <c r="N201">
        <v>0</v>
      </c>
      <c r="O201">
        <v>0</v>
      </c>
      <c r="P201" s="5">
        <f t="shared" si="9"/>
        <v>0</v>
      </c>
      <c r="Q201">
        <v>0</v>
      </c>
      <c r="R201">
        <v>0</v>
      </c>
      <c r="S201">
        <v>0</v>
      </c>
      <c r="T201">
        <v>0</v>
      </c>
      <c r="U201">
        <v>0</v>
      </c>
      <c r="V201">
        <v>0</v>
      </c>
      <c r="W201">
        <v>0</v>
      </c>
      <c r="X201" s="5">
        <f t="shared" si="10"/>
        <v>0</v>
      </c>
      <c r="Y201">
        <v>0</v>
      </c>
      <c r="Z201">
        <v>0</v>
      </c>
      <c r="AA201">
        <v>0</v>
      </c>
      <c r="AB201">
        <f>2+10/12</f>
        <v>2.8333333333333335</v>
      </c>
      <c r="AC201">
        <v>0</v>
      </c>
      <c r="AD201">
        <v>0</v>
      </c>
      <c r="AE201">
        <v>0</v>
      </c>
      <c r="AF201" s="11">
        <f t="shared" si="11"/>
        <v>2.8333333333333335</v>
      </c>
      <c r="AG201">
        <v>0</v>
      </c>
      <c r="AH201">
        <v>0</v>
      </c>
      <c r="AI201" t="s">
        <v>398</v>
      </c>
      <c r="AK201" t="s">
        <v>3190</v>
      </c>
      <c r="AL201" t="s">
        <v>3182</v>
      </c>
    </row>
    <row r="202" spans="1:38" x14ac:dyDescent="0.25">
      <c r="A202">
        <v>1762</v>
      </c>
      <c r="B202" t="s">
        <v>19</v>
      </c>
      <c r="C202" t="s">
        <v>2885</v>
      </c>
      <c r="D202" t="s">
        <v>219</v>
      </c>
      <c r="E202" s="5">
        <v>1343</v>
      </c>
      <c r="F202" t="s">
        <v>1097</v>
      </c>
      <c r="G202">
        <v>1</v>
      </c>
      <c r="H202">
        <v>0</v>
      </c>
      <c r="I202">
        <v>0</v>
      </c>
      <c r="J202">
        <v>0</v>
      </c>
      <c r="K202">
        <v>0</v>
      </c>
      <c r="L202">
        <v>0</v>
      </c>
      <c r="M202">
        <v>0</v>
      </c>
      <c r="N202">
        <v>0</v>
      </c>
      <c r="O202">
        <v>0</v>
      </c>
      <c r="P202" s="5">
        <f t="shared" si="9"/>
        <v>0</v>
      </c>
      <c r="Q202">
        <v>0</v>
      </c>
      <c r="R202">
        <v>0</v>
      </c>
      <c r="S202">
        <v>0</v>
      </c>
      <c r="T202">
        <v>0</v>
      </c>
      <c r="U202">
        <v>0</v>
      </c>
      <c r="V202">
        <v>0</v>
      </c>
      <c r="W202">
        <v>0</v>
      </c>
      <c r="X202" s="5">
        <f t="shared" si="10"/>
        <v>0</v>
      </c>
      <c r="Y202">
        <v>0</v>
      </c>
      <c r="Z202">
        <v>0</v>
      </c>
      <c r="AA202">
        <v>0</v>
      </c>
      <c r="AB202">
        <f>6/12</f>
        <v>0.5</v>
      </c>
      <c r="AC202">
        <v>0</v>
      </c>
      <c r="AD202">
        <v>0</v>
      </c>
      <c r="AE202">
        <v>0</v>
      </c>
      <c r="AF202" s="11">
        <f t="shared" si="11"/>
        <v>0.5</v>
      </c>
      <c r="AG202">
        <v>0</v>
      </c>
      <c r="AH202">
        <v>0</v>
      </c>
      <c r="AI202" t="s">
        <v>398</v>
      </c>
      <c r="AJ202" t="s">
        <v>3205</v>
      </c>
      <c r="AK202" t="s">
        <v>3204</v>
      </c>
    </row>
    <row r="203" spans="1:38" x14ac:dyDescent="0.25">
      <c r="A203">
        <v>1762</v>
      </c>
      <c r="B203" t="s">
        <v>19</v>
      </c>
      <c r="C203" t="s">
        <v>2885</v>
      </c>
      <c r="D203" t="s">
        <v>219</v>
      </c>
      <c r="E203" s="5">
        <v>1343</v>
      </c>
      <c r="F203" t="s">
        <v>1097</v>
      </c>
      <c r="G203">
        <v>1</v>
      </c>
      <c r="H203">
        <v>0</v>
      </c>
      <c r="I203">
        <v>0</v>
      </c>
      <c r="J203">
        <v>0</v>
      </c>
      <c r="K203">
        <v>0</v>
      </c>
      <c r="L203">
        <v>0</v>
      </c>
      <c r="M203">
        <v>0</v>
      </c>
      <c r="N203">
        <v>0</v>
      </c>
      <c r="O203">
        <v>0</v>
      </c>
      <c r="P203" s="5">
        <f t="shared" si="9"/>
        <v>0</v>
      </c>
      <c r="Q203">
        <v>0</v>
      </c>
      <c r="R203">
        <v>0</v>
      </c>
      <c r="S203">
        <v>0</v>
      </c>
      <c r="T203">
        <v>0</v>
      </c>
      <c r="U203">
        <v>0</v>
      </c>
      <c r="V203">
        <v>0</v>
      </c>
      <c r="W203">
        <v>0</v>
      </c>
      <c r="X203" s="5">
        <f t="shared" si="10"/>
        <v>0</v>
      </c>
      <c r="Y203">
        <v>0</v>
      </c>
      <c r="Z203">
        <v>0</v>
      </c>
      <c r="AA203">
        <v>0</v>
      </c>
      <c r="AB203">
        <f>12/12</f>
        <v>1</v>
      </c>
      <c r="AC203">
        <v>0</v>
      </c>
      <c r="AD203">
        <v>0</v>
      </c>
      <c r="AE203">
        <v>0</v>
      </c>
      <c r="AF203" s="11">
        <f t="shared" si="11"/>
        <v>1</v>
      </c>
      <c r="AG203">
        <v>0</v>
      </c>
      <c r="AH203">
        <v>0</v>
      </c>
      <c r="AI203" t="s">
        <v>398</v>
      </c>
      <c r="AJ203" t="s">
        <v>3208</v>
      </c>
      <c r="AK203" t="s">
        <v>3207</v>
      </c>
    </row>
    <row r="204" spans="1:38" x14ac:dyDescent="0.25">
      <c r="A204">
        <v>1781</v>
      </c>
      <c r="B204" t="s">
        <v>465</v>
      </c>
      <c r="C204" t="s">
        <v>77</v>
      </c>
      <c r="D204" t="s">
        <v>219</v>
      </c>
      <c r="E204" s="5">
        <v>1343</v>
      </c>
      <c r="F204" t="s">
        <v>1097</v>
      </c>
      <c r="G204">
        <v>21</v>
      </c>
      <c r="H204">
        <v>0</v>
      </c>
      <c r="I204">
        <v>0</v>
      </c>
      <c r="J204">
        <v>0</v>
      </c>
      <c r="K204">
        <v>0</v>
      </c>
      <c r="L204">
        <v>0</v>
      </c>
      <c r="M204">
        <v>0</v>
      </c>
      <c r="N204">
        <v>1</v>
      </c>
      <c r="O204">
        <v>0</v>
      </c>
      <c r="P204" s="5">
        <f t="shared" si="9"/>
        <v>2.4375</v>
      </c>
      <c r="Q204">
        <v>0</v>
      </c>
      <c r="R204">
        <v>0</v>
      </c>
      <c r="S204">
        <v>0</v>
      </c>
      <c r="T204">
        <v>0</v>
      </c>
      <c r="U204">
        <v>0</v>
      </c>
      <c r="V204">
        <v>0</v>
      </c>
      <c r="W204">
        <v>0</v>
      </c>
      <c r="X204" s="5">
        <f t="shared" si="10"/>
        <v>0</v>
      </c>
      <c r="Y204">
        <v>0</v>
      </c>
      <c r="Z204">
        <v>0</v>
      </c>
      <c r="AA204">
        <v>0</v>
      </c>
      <c r="AB204">
        <v>0</v>
      </c>
      <c r="AC204">
        <v>0</v>
      </c>
      <c r="AD204">
        <v>0</v>
      </c>
      <c r="AE204">
        <v>0</v>
      </c>
      <c r="AF204" s="11">
        <f t="shared" si="11"/>
        <v>0</v>
      </c>
      <c r="AG204">
        <v>0</v>
      </c>
      <c r="AH204">
        <v>0</v>
      </c>
      <c r="AI204" t="s">
        <v>417</v>
      </c>
      <c r="AK204" t="s">
        <v>3234</v>
      </c>
    </row>
    <row r="205" spans="1:38" x14ac:dyDescent="0.25">
      <c r="A205">
        <v>1792</v>
      </c>
      <c r="B205" t="s">
        <v>23</v>
      </c>
      <c r="C205" t="s">
        <v>3298</v>
      </c>
      <c r="D205" t="s">
        <v>219</v>
      </c>
      <c r="E205" s="5">
        <v>1343</v>
      </c>
      <c r="F205" t="s">
        <v>265</v>
      </c>
      <c r="G205">
        <v>13</v>
      </c>
      <c r="H205">
        <v>1</v>
      </c>
      <c r="I205">
        <v>0</v>
      </c>
      <c r="J205">
        <v>0</v>
      </c>
      <c r="K205">
        <v>0</v>
      </c>
      <c r="L205">
        <v>0</v>
      </c>
      <c r="M205">
        <f>7+1/2</f>
        <v>7.5</v>
      </c>
      <c r="N205">
        <v>1</v>
      </c>
      <c r="O205">
        <v>0</v>
      </c>
      <c r="P205" s="5">
        <f t="shared" si="9"/>
        <v>39</v>
      </c>
      <c r="Q205">
        <v>0</v>
      </c>
      <c r="R205">
        <v>0</v>
      </c>
      <c r="S205">
        <v>0</v>
      </c>
      <c r="T205">
        <f>7+1/2</f>
        <v>7.5</v>
      </c>
      <c r="U205">
        <v>0</v>
      </c>
      <c r="V205">
        <v>0</v>
      </c>
      <c r="W205">
        <v>0</v>
      </c>
      <c r="X205" s="5">
        <f t="shared" si="10"/>
        <v>36.5625</v>
      </c>
      <c r="Y205">
        <v>0</v>
      </c>
      <c r="Z205">
        <v>0</v>
      </c>
      <c r="AA205">
        <v>0</v>
      </c>
      <c r="AB205">
        <v>4</v>
      </c>
      <c r="AC205">
        <v>0</v>
      </c>
      <c r="AD205">
        <v>0</v>
      </c>
      <c r="AE205">
        <v>0</v>
      </c>
      <c r="AF205" s="11">
        <f t="shared" si="11"/>
        <v>4</v>
      </c>
      <c r="AG205">
        <v>0</v>
      </c>
      <c r="AH205">
        <v>0</v>
      </c>
      <c r="AI205" t="s">
        <v>3294</v>
      </c>
    </row>
    <row r="206" spans="1:38" x14ac:dyDescent="0.25">
      <c r="A206">
        <v>1792</v>
      </c>
      <c r="B206" t="s">
        <v>23</v>
      </c>
      <c r="C206" t="s">
        <v>3298</v>
      </c>
      <c r="D206" t="s">
        <v>219</v>
      </c>
      <c r="E206" s="5">
        <v>1343</v>
      </c>
      <c r="F206" t="s">
        <v>265</v>
      </c>
      <c r="G206">
        <v>13</v>
      </c>
      <c r="H206">
        <v>0</v>
      </c>
      <c r="I206">
        <v>0</v>
      </c>
      <c r="J206">
        <v>0</v>
      </c>
      <c r="K206">
        <v>0</v>
      </c>
      <c r="L206">
        <v>0</v>
      </c>
      <c r="M206">
        <v>0</v>
      </c>
      <c r="N206">
        <v>0</v>
      </c>
      <c r="O206">
        <v>0</v>
      </c>
      <c r="P206" s="5">
        <f t="shared" si="9"/>
        <v>0</v>
      </c>
      <c r="Q206">
        <v>0</v>
      </c>
      <c r="R206">
        <v>0</v>
      </c>
      <c r="S206">
        <v>0</v>
      </c>
      <c r="T206">
        <v>0</v>
      </c>
      <c r="U206">
        <v>0</v>
      </c>
      <c r="V206">
        <v>0</v>
      </c>
      <c r="W206">
        <v>0</v>
      </c>
      <c r="X206" s="5">
        <f t="shared" si="10"/>
        <v>0</v>
      </c>
      <c r="Y206">
        <v>0</v>
      </c>
      <c r="Z206">
        <v>0</v>
      </c>
      <c r="AA206">
        <v>0</v>
      </c>
      <c r="AB206">
        <f>2/12</f>
        <v>0.16666666666666666</v>
      </c>
      <c r="AC206">
        <v>0</v>
      </c>
      <c r="AD206">
        <v>0</v>
      </c>
      <c r="AE206">
        <v>0</v>
      </c>
      <c r="AF206" s="11">
        <f t="shared" si="11"/>
        <v>0.16666666666666666</v>
      </c>
      <c r="AG206">
        <f>2/12</f>
        <v>0.16666666666666666</v>
      </c>
      <c r="AH206">
        <v>0</v>
      </c>
      <c r="AI206" t="s">
        <v>3295</v>
      </c>
      <c r="AJ206" t="s">
        <v>1901</v>
      </c>
    </row>
    <row r="207" spans="1:38" x14ac:dyDescent="0.25">
      <c r="A207">
        <v>1801</v>
      </c>
      <c r="B207" t="s">
        <v>3299</v>
      </c>
      <c r="C207" t="s">
        <v>3298</v>
      </c>
      <c r="D207" t="s">
        <v>219</v>
      </c>
      <c r="E207" s="5">
        <v>1343</v>
      </c>
      <c r="F207" t="s">
        <v>265</v>
      </c>
      <c r="G207">
        <v>13</v>
      </c>
      <c r="H207">
        <v>0</v>
      </c>
      <c r="I207">
        <v>0</v>
      </c>
      <c r="J207">
        <v>0</v>
      </c>
      <c r="K207">
        <v>0</v>
      </c>
      <c r="L207">
        <v>0</v>
      </c>
      <c r="M207">
        <v>5</v>
      </c>
      <c r="N207">
        <v>1</v>
      </c>
      <c r="O207">
        <v>0</v>
      </c>
      <c r="P207" s="5">
        <f t="shared" si="9"/>
        <v>26.8125</v>
      </c>
      <c r="Q207">
        <v>0</v>
      </c>
      <c r="R207">
        <v>0</v>
      </c>
      <c r="S207">
        <v>1</v>
      </c>
      <c r="T207" s="15">
        <f>1/2</f>
        <v>0.5</v>
      </c>
      <c r="U207">
        <v>0</v>
      </c>
      <c r="V207">
        <v>0</v>
      </c>
      <c r="W207">
        <v>0</v>
      </c>
      <c r="X207" s="5">
        <f t="shared" si="10"/>
        <v>21.9375</v>
      </c>
      <c r="Y207">
        <v>0</v>
      </c>
      <c r="Z207">
        <v>0</v>
      </c>
      <c r="AA207">
        <v>0</v>
      </c>
      <c r="AB207">
        <f>6+2/12</f>
        <v>6.166666666666667</v>
      </c>
      <c r="AC207">
        <v>0</v>
      </c>
      <c r="AD207">
        <v>0</v>
      </c>
      <c r="AE207">
        <v>0</v>
      </c>
      <c r="AF207" s="11">
        <f t="shared" si="11"/>
        <v>6.166666666666667</v>
      </c>
      <c r="AG207">
        <v>0</v>
      </c>
      <c r="AH207">
        <v>0</v>
      </c>
      <c r="AI207" t="s">
        <v>3305</v>
      </c>
    </row>
    <row r="208" spans="1:38" x14ac:dyDescent="0.25">
      <c r="A208">
        <v>1802</v>
      </c>
      <c r="B208" t="s">
        <v>3311</v>
      </c>
      <c r="C208" t="s">
        <v>3313</v>
      </c>
      <c r="D208" t="s">
        <v>219</v>
      </c>
      <c r="E208" s="5">
        <v>1343</v>
      </c>
      <c r="F208" t="s">
        <v>265</v>
      </c>
      <c r="G208">
        <v>13</v>
      </c>
      <c r="H208">
        <v>0</v>
      </c>
      <c r="I208">
        <v>0</v>
      </c>
      <c r="J208">
        <v>0</v>
      </c>
      <c r="K208">
        <v>0</v>
      </c>
      <c r="L208">
        <v>0</v>
      </c>
      <c r="M208">
        <v>0</v>
      </c>
      <c r="N208">
        <v>1</v>
      </c>
      <c r="O208">
        <v>0</v>
      </c>
      <c r="P208" s="5">
        <f t="shared" si="9"/>
        <v>2.4375</v>
      </c>
      <c r="Q208">
        <v>0</v>
      </c>
      <c r="R208">
        <v>0</v>
      </c>
      <c r="S208">
        <v>0</v>
      </c>
      <c r="T208">
        <v>0</v>
      </c>
      <c r="U208">
        <v>0</v>
      </c>
      <c r="V208">
        <v>1</v>
      </c>
      <c r="W208">
        <v>0</v>
      </c>
      <c r="X208" s="5">
        <f t="shared" si="10"/>
        <v>9.75</v>
      </c>
      <c r="Y208">
        <v>0</v>
      </c>
      <c r="Z208">
        <v>0</v>
      </c>
      <c r="AA208">
        <v>0</v>
      </c>
      <c r="AB208">
        <v>6</v>
      </c>
      <c r="AC208">
        <v>0</v>
      </c>
      <c r="AD208">
        <v>0</v>
      </c>
      <c r="AE208">
        <v>0</v>
      </c>
      <c r="AF208" s="11">
        <f t="shared" si="11"/>
        <v>6</v>
      </c>
      <c r="AG208">
        <v>0</v>
      </c>
      <c r="AH208">
        <v>0</v>
      </c>
      <c r="AI208" t="s">
        <v>3324</v>
      </c>
    </row>
    <row r="209" spans="1:37" x14ac:dyDescent="0.25">
      <c r="A209">
        <v>1803</v>
      </c>
      <c r="B209" t="s">
        <v>13</v>
      </c>
      <c r="C209" t="s">
        <v>2885</v>
      </c>
      <c r="D209" t="s">
        <v>219</v>
      </c>
      <c r="E209" s="5">
        <v>1343</v>
      </c>
      <c r="F209" t="s">
        <v>265</v>
      </c>
      <c r="G209">
        <v>13</v>
      </c>
      <c r="H209">
        <v>0</v>
      </c>
      <c r="I209">
        <v>0</v>
      </c>
      <c r="J209">
        <v>0</v>
      </c>
      <c r="K209">
        <v>0</v>
      </c>
      <c r="L209">
        <v>0</v>
      </c>
      <c r="M209">
        <v>0</v>
      </c>
      <c r="N209">
        <v>0</v>
      </c>
      <c r="O209">
        <v>0</v>
      </c>
      <c r="P209" s="5">
        <f t="shared" si="9"/>
        <v>0</v>
      </c>
      <c r="Q209">
        <v>0</v>
      </c>
      <c r="R209">
        <v>0</v>
      </c>
      <c r="S209">
        <v>0</v>
      </c>
      <c r="T209">
        <f>1/2</f>
        <v>0.5</v>
      </c>
      <c r="U209">
        <v>0</v>
      </c>
      <c r="V209">
        <v>0</v>
      </c>
      <c r="W209">
        <v>0</v>
      </c>
      <c r="X209" s="5">
        <f t="shared" si="10"/>
        <v>2.4375</v>
      </c>
      <c r="Y209">
        <v>0</v>
      </c>
      <c r="Z209">
        <v>0</v>
      </c>
      <c r="AA209">
        <v>0</v>
      </c>
      <c r="AB209">
        <v>0</v>
      </c>
      <c r="AC209">
        <v>0</v>
      </c>
      <c r="AD209">
        <v>0</v>
      </c>
      <c r="AE209">
        <v>0</v>
      </c>
      <c r="AF209" s="11">
        <f t="shared" si="11"/>
        <v>0</v>
      </c>
      <c r="AG209">
        <v>0</v>
      </c>
      <c r="AH209">
        <v>0</v>
      </c>
      <c r="AI209" t="s">
        <v>398</v>
      </c>
      <c r="AJ209" t="s">
        <v>1937</v>
      </c>
      <c r="AK209" t="s">
        <v>3332</v>
      </c>
    </row>
    <row r="210" spans="1:37" x14ac:dyDescent="0.25">
      <c r="A210">
        <v>1812</v>
      </c>
      <c r="B210" t="s">
        <v>3360</v>
      </c>
      <c r="C210" t="s">
        <v>1810</v>
      </c>
      <c r="D210" t="s">
        <v>219</v>
      </c>
      <c r="E210" s="5">
        <v>1343</v>
      </c>
      <c r="F210" t="s">
        <v>265</v>
      </c>
      <c r="G210">
        <v>13</v>
      </c>
      <c r="H210">
        <v>0</v>
      </c>
      <c r="I210">
        <v>0</v>
      </c>
      <c r="J210">
        <v>0</v>
      </c>
      <c r="K210">
        <v>0</v>
      </c>
      <c r="L210">
        <v>0</v>
      </c>
      <c r="M210">
        <v>0</v>
      </c>
      <c r="N210">
        <v>0</v>
      </c>
      <c r="O210">
        <v>0</v>
      </c>
      <c r="P210" s="5">
        <f t="shared" si="9"/>
        <v>0</v>
      </c>
      <c r="Q210">
        <v>0</v>
      </c>
      <c r="R210">
        <v>0</v>
      </c>
      <c r="S210">
        <v>0</v>
      </c>
      <c r="T210">
        <f>1/2</f>
        <v>0.5</v>
      </c>
      <c r="U210">
        <v>0</v>
      </c>
      <c r="V210">
        <v>0</v>
      </c>
      <c r="W210">
        <v>0</v>
      </c>
      <c r="X210" s="5">
        <f t="shared" si="10"/>
        <v>2.4375</v>
      </c>
      <c r="Y210">
        <v>0</v>
      </c>
      <c r="Z210">
        <v>0</v>
      </c>
      <c r="AA210">
        <v>0</v>
      </c>
      <c r="AB210">
        <v>0</v>
      </c>
      <c r="AC210">
        <v>0</v>
      </c>
      <c r="AD210">
        <v>0</v>
      </c>
      <c r="AE210">
        <v>0</v>
      </c>
      <c r="AF210" s="11">
        <f t="shared" si="11"/>
        <v>0</v>
      </c>
      <c r="AG210">
        <v>0</v>
      </c>
      <c r="AH210">
        <v>0</v>
      </c>
      <c r="AI210" t="s">
        <v>3362</v>
      </c>
      <c r="AJ210" t="s">
        <v>3363</v>
      </c>
      <c r="AK210" t="s">
        <v>3364</v>
      </c>
    </row>
    <row r="211" spans="1:37" x14ac:dyDescent="0.25">
      <c r="A211">
        <v>1813</v>
      </c>
      <c r="B211" t="s">
        <v>1850</v>
      </c>
      <c r="C211" t="s">
        <v>2830</v>
      </c>
      <c r="D211" t="s">
        <v>219</v>
      </c>
      <c r="E211" s="5">
        <v>1343</v>
      </c>
      <c r="F211" t="s">
        <v>265</v>
      </c>
      <c r="G211">
        <v>13</v>
      </c>
      <c r="H211">
        <v>0</v>
      </c>
      <c r="I211">
        <v>0</v>
      </c>
      <c r="J211">
        <v>0</v>
      </c>
      <c r="K211">
        <v>0</v>
      </c>
      <c r="L211">
        <v>0</v>
      </c>
      <c r="M211">
        <v>0</v>
      </c>
      <c r="N211">
        <v>0</v>
      </c>
      <c r="O211">
        <v>0</v>
      </c>
      <c r="P211" s="5">
        <f t="shared" si="9"/>
        <v>0</v>
      </c>
      <c r="Q211">
        <v>0</v>
      </c>
      <c r="R211">
        <v>0</v>
      </c>
      <c r="S211">
        <v>0</v>
      </c>
      <c r="T211">
        <v>0</v>
      </c>
      <c r="U211">
        <v>0</v>
      </c>
      <c r="V211">
        <v>0</v>
      </c>
      <c r="W211">
        <v>0</v>
      </c>
      <c r="X211" s="5">
        <f t="shared" si="10"/>
        <v>0</v>
      </c>
      <c r="Y211">
        <v>0</v>
      </c>
      <c r="Z211">
        <v>0</v>
      </c>
      <c r="AA211">
        <v>0</v>
      </c>
      <c r="AB211">
        <f>1/12</f>
        <v>8.3333333333333329E-2</v>
      </c>
      <c r="AC211">
        <v>0</v>
      </c>
      <c r="AD211">
        <v>0</v>
      </c>
      <c r="AE211">
        <v>0</v>
      </c>
      <c r="AF211" s="11">
        <f t="shared" si="11"/>
        <v>8.3333333333333329E-2</v>
      </c>
      <c r="AG211">
        <v>0</v>
      </c>
      <c r="AH211">
        <v>0</v>
      </c>
      <c r="AI211" t="s">
        <v>2467</v>
      </c>
      <c r="AJ211" t="s">
        <v>2856</v>
      </c>
    </row>
    <row r="212" spans="1:37" x14ac:dyDescent="0.25">
      <c r="A212">
        <v>1813</v>
      </c>
      <c r="B212" t="s">
        <v>1850</v>
      </c>
      <c r="C212" t="s">
        <v>2830</v>
      </c>
      <c r="D212" t="s">
        <v>219</v>
      </c>
      <c r="E212" s="5">
        <v>1343</v>
      </c>
      <c r="F212" t="s">
        <v>265</v>
      </c>
      <c r="G212">
        <v>13</v>
      </c>
      <c r="H212">
        <v>0</v>
      </c>
      <c r="I212">
        <v>0</v>
      </c>
      <c r="J212">
        <v>0</v>
      </c>
      <c r="K212">
        <v>0</v>
      </c>
      <c r="L212">
        <v>0</v>
      </c>
      <c r="M212">
        <v>0</v>
      </c>
      <c r="N212">
        <v>0</v>
      </c>
      <c r="O212">
        <v>0</v>
      </c>
      <c r="P212" s="5">
        <f t="shared" si="9"/>
        <v>0</v>
      </c>
      <c r="Q212">
        <v>0</v>
      </c>
      <c r="R212">
        <v>0</v>
      </c>
      <c r="S212">
        <v>0</v>
      </c>
      <c r="T212">
        <v>0</v>
      </c>
      <c r="U212">
        <v>0</v>
      </c>
      <c r="V212">
        <v>0</v>
      </c>
      <c r="W212">
        <v>0</v>
      </c>
      <c r="X212" s="5">
        <f t="shared" si="10"/>
        <v>0</v>
      </c>
      <c r="Y212">
        <v>0</v>
      </c>
      <c r="Z212">
        <v>0</v>
      </c>
      <c r="AA212">
        <v>0</v>
      </c>
      <c r="AB212">
        <f>5/12</f>
        <v>0.41666666666666669</v>
      </c>
      <c r="AC212">
        <v>0</v>
      </c>
      <c r="AD212">
        <v>0</v>
      </c>
      <c r="AE212">
        <v>0</v>
      </c>
      <c r="AF212" s="11">
        <f t="shared" si="11"/>
        <v>0.41666666666666669</v>
      </c>
      <c r="AG212">
        <v>0</v>
      </c>
      <c r="AH212">
        <v>0</v>
      </c>
      <c r="AI212" t="s">
        <v>3377</v>
      </c>
      <c r="AJ212" t="s">
        <v>3378</v>
      </c>
    </row>
    <row r="213" spans="1:37" x14ac:dyDescent="0.25">
      <c r="A213">
        <v>1821</v>
      </c>
      <c r="B213" t="s">
        <v>107</v>
      </c>
      <c r="C213" t="s">
        <v>2885</v>
      </c>
      <c r="D213" t="s">
        <v>219</v>
      </c>
      <c r="E213" s="5">
        <v>1343</v>
      </c>
      <c r="G213" s="27" t="s">
        <v>3386</v>
      </c>
      <c r="H213">
        <v>0</v>
      </c>
      <c r="I213">
        <v>0</v>
      </c>
      <c r="J213">
        <v>0</v>
      </c>
      <c r="K213">
        <v>0</v>
      </c>
      <c r="L213">
        <v>0</v>
      </c>
      <c r="M213">
        <v>0</v>
      </c>
      <c r="N213">
        <v>0</v>
      </c>
      <c r="O213">
        <v>0</v>
      </c>
      <c r="P213" s="5">
        <f t="shared" si="9"/>
        <v>0</v>
      </c>
      <c r="Q213">
        <v>0</v>
      </c>
      <c r="R213">
        <v>0</v>
      </c>
      <c r="S213">
        <v>0</v>
      </c>
      <c r="T213">
        <f>1/2</f>
        <v>0.5</v>
      </c>
      <c r="U213">
        <v>0</v>
      </c>
      <c r="V213">
        <v>0</v>
      </c>
      <c r="W213">
        <v>0</v>
      </c>
      <c r="X213" s="5">
        <f t="shared" si="10"/>
        <v>2.4375</v>
      </c>
      <c r="Y213">
        <v>0</v>
      </c>
      <c r="Z213">
        <v>0</v>
      </c>
      <c r="AA213">
        <v>0</v>
      </c>
      <c r="AB213">
        <v>0</v>
      </c>
      <c r="AC213">
        <v>0</v>
      </c>
      <c r="AD213">
        <v>0</v>
      </c>
      <c r="AE213">
        <v>0</v>
      </c>
      <c r="AF213" s="11">
        <f t="shared" si="11"/>
        <v>0</v>
      </c>
      <c r="AG213">
        <v>0</v>
      </c>
      <c r="AH213">
        <v>0</v>
      </c>
      <c r="AI213" t="s">
        <v>3390</v>
      </c>
      <c r="AK213" t="s">
        <v>3391</v>
      </c>
    </row>
    <row r="214" spans="1:37" x14ac:dyDescent="0.25">
      <c r="A214">
        <v>1822</v>
      </c>
      <c r="B214" t="s">
        <v>165</v>
      </c>
      <c r="C214" t="s">
        <v>3394</v>
      </c>
      <c r="D214" t="s">
        <v>219</v>
      </c>
      <c r="E214" s="5">
        <v>1343</v>
      </c>
      <c r="G214" s="27" t="s">
        <v>3386</v>
      </c>
      <c r="H214">
        <v>0</v>
      </c>
      <c r="I214">
        <v>0</v>
      </c>
      <c r="J214">
        <v>0</v>
      </c>
      <c r="K214">
        <v>0</v>
      </c>
      <c r="L214">
        <v>0</v>
      </c>
      <c r="M214">
        <v>0</v>
      </c>
      <c r="N214">
        <v>0</v>
      </c>
      <c r="O214">
        <v>0</v>
      </c>
      <c r="P214" s="5">
        <f t="shared" si="9"/>
        <v>0</v>
      </c>
      <c r="Q214">
        <v>0</v>
      </c>
      <c r="R214">
        <v>0</v>
      </c>
      <c r="S214">
        <v>0</v>
      </c>
      <c r="T214">
        <v>1</v>
      </c>
      <c r="U214">
        <v>0</v>
      </c>
      <c r="V214">
        <v>0</v>
      </c>
      <c r="W214">
        <v>0</v>
      </c>
      <c r="X214" s="5">
        <f t="shared" si="10"/>
        <v>4.875</v>
      </c>
      <c r="Y214">
        <v>0</v>
      </c>
      <c r="Z214">
        <v>0</v>
      </c>
      <c r="AA214">
        <v>0</v>
      </c>
      <c r="AB214">
        <v>0</v>
      </c>
      <c r="AC214">
        <v>0</v>
      </c>
      <c r="AD214">
        <v>0</v>
      </c>
      <c r="AE214">
        <v>0</v>
      </c>
      <c r="AF214" s="11">
        <f t="shared" si="11"/>
        <v>0</v>
      </c>
      <c r="AG214">
        <v>0</v>
      </c>
      <c r="AH214">
        <v>0</v>
      </c>
      <c r="AI214" t="s">
        <v>3403</v>
      </c>
    </row>
    <row r="215" spans="1:37" x14ac:dyDescent="0.25">
      <c r="A215">
        <v>1823</v>
      </c>
      <c r="B215" t="s">
        <v>164</v>
      </c>
      <c r="C215" t="s">
        <v>3406</v>
      </c>
      <c r="D215" t="s">
        <v>219</v>
      </c>
      <c r="E215" s="5">
        <v>1343</v>
      </c>
      <c r="G215" s="27" t="s">
        <v>3386</v>
      </c>
      <c r="H215">
        <v>0</v>
      </c>
      <c r="I215">
        <v>0</v>
      </c>
      <c r="J215">
        <v>0</v>
      </c>
      <c r="K215">
        <v>0</v>
      </c>
      <c r="L215">
        <v>0</v>
      </c>
      <c r="M215">
        <v>0</v>
      </c>
      <c r="N215">
        <v>0</v>
      </c>
      <c r="O215">
        <v>0</v>
      </c>
      <c r="P215" s="5">
        <f t="shared" si="9"/>
        <v>0</v>
      </c>
      <c r="Q215">
        <v>0</v>
      </c>
      <c r="R215">
        <v>0</v>
      </c>
      <c r="S215">
        <v>0</v>
      </c>
      <c r="T215">
        <f>1/2</f>
        <v>0.5</v>
      </c>
      <c r="U215">
        <v>0</v>
      </c>
      <c r="V215">
        <v>0</v>
      </c>
      <c r="W215">
        <v>0</v>
      </c>
      <c r="X215" s="5">
        <f t="shared" si="10"/>
        <v>2.4375</v>
      </c>
      <c r="Y215">
        <v>0</v>
      </c>
      <c r="Z215">
        <v>0</v>
      </c>
      <c r="AA215">
        <v>0</v>
      </c>
      <c r="AB215">
        <v>0</v>
      </c>
      <c r="AC215">
        <v>0</v>
      </c>
      <c r="AD215">
        <v>0</v>
      </c>
      <c r="AE215">
        <v>0</v>
      </c>
      <c r="AF215" s="11">
        <f t="shared" si="11"/>
        <v>0</v>
      </c>
      <c r="AG215">
        <v>0</v>
      </c>
      <c r="AH215">
        <v>0</v>
      </c>
      <c r="AI215" t="s">
        <v>791</v>
      </c>
      <c r="AK215" t="s">
        <v>3407</v>
      </c>
    </row>
    <row r="216" spans="1:37" x14ac:dyDescent="0.25">
      <c r="A216">
        <v>1824</v>
      </c>
      <c r="B216" t="s">
        <v>465</v>
      </c>
      <c r="C216" t="s">
        <v>3394</v>
      </c>
      <c r="D216" t="s">
        <v>219</v>
      </c>
      <c r="E216" s="5">
        <v>1343</v>
      </c>
      <c r="G216" s="27" t="s">
        <v>3386</v>
      </c>
      <c r="H216">
        <v>0</v>
      </c>
      <c r="I216">
        <v>0</v>
      </c>
      <c r="J216">
        <v>0</v>
      </c>
      <c r="K216">
        <v>0</v>
      </c>
      <c r="L216">
        <v>0</v>
      </c>
      <c r="M216">
        <v>0</v>
      </c>
      <c r="N216">
        <v>0</v>
      </c>
      <c r="O216">
        <v>0</v>
      </c>
      <c r="P216" s="5">
        <f t="shared" si="9"/>
        <v>0</v>
      </c>
      <c r="Q216">
        <v>0</v>
      </c>
      <c r="R216">
        <v>0</v>
      </c>
      <c r="S216">
        <v>0</v>
      </c>
      <c r="T216">
        <f>1/2</f>
        <v>0.5</v>
      </c>
      <c r="U216">
        <v>0</v>
      </c>
      <c r="V216">
        <v>0</v>
      </c>
      <c r="W216">
        <v>0</v>
      </c>
      <c r="X216" s="5">
        <f t="shared" si="10"/>
        <v>2.4375</v>
      </c>
      <c r="Y216">
        <v>0</v>
      </c>
      <c r="Z216">
        <v>0</v>
      </c>
      <c r="AA216">
        <v>0</v>
      </c>
      <c r="AB216">
        <v>0</v>
      </c>
      <c r="AC216">
        <v>0</v>
      </c>
      <c r="AD216">
        <v>0</v>
      </c>
      <c r="AE216">
        <v>0</v>
      </c>
      <c r="AF216" s="11">
        <f t="shared" si="11"/>
        <v>0</v>
      </c>
      <c r="AG216">
        <v>0</v>
      </c>
      <c r="AH216">
        <v>0</v>
      </c>
      <c r="AI216" t="s">
        <v>389</v>
      </c>
      <c r="AK216" t="s">
        <v>3411</v>
      </c>
    </row>
    <row r="217" spans="1:37" x14ac:dyDescent="0.25">
      <c r="A217">
        <v>1831</v>
      </c>
      <c r="B217" t="s">
        <v>37</v>
      </c>
      <c r="C217" t="s">
        <v>2653</v>
      </c>
      <c r="D217" t="s">
        <v>219</v>
      </c>
      <c r="E217" s="5">
        <v>1343</v>
      </c>
      <c r="G217" s="27" t="s">
        <v>3386</v>
      </c>
      <c r="H217">
        <v>0</v>
      </c>
      <c r="I217">
        <v>0</v>
      </c>
      <c r="J217">
        <v>0</v>
      </c>
      <c r="K217">
        <v>0</v>
      </c>
      <c r="L217">
        <v>0</v>
      </c>
      <c r="M217">
        <v>1</v>
      </c>
      <c r="N217">
        <v>0</v>
      </c>
      <c r="O217">
        <v>0</v>
      </c>
      <c r="P217" s="5">
        <f t="shared" si="9"/>
        <v>4.875</v>
      </c>
      <c r="Q217">
        <v>0</v>
      </c>
      <c r="R217">
        <v>0</v>
      </c>
      <c r="S217">
        <v>0</v>
      </c>
      <c r="T217">
        <v>1</v>
      </c>
      <c r="U217">
        <v>0</v>
      </c>
      <c r="V217">
        <v>0</v>
      </c>
      <c r="W217">
        <v>0</v>
      </c>
      <c r="X217" s="5">
        <f t="shared" si="10"/>
        <v>4.875</v>
      </c>
      <c r="Y217">
        <v>0</v>
      </c>
      <c r="Z217">
        <v>0</v>
      </c>
      <c r="AA217">
        <v>0</v>
      </c>
      <c r="AB217">
        <v>0</v>
      </c>
      <c r="AC217">
        <v>0</v>
      </c>
      <c r="AD217">
        <v>0</v>
      </c>
      <c r="AE217">
        <v>0</v>
      </c>
      <c r="AF217" s="11">
        <f t="shared" si="11"/>
        <v>0</v>
      </c>
      <c r="AG217">
        <v>0</v>
      </c>
      <c r="AH217">
        <v>0</v>
      </c>
      <c r="AI217" t="s">
        <v>3422</v>
      </c>
    </row>
    <row r="218" spans="1:37" x14ac:dyDescent="0.25">
      <c r="A218">
        <v>1831</v>
      </c>
      <c r="B218" t="s">
        <v>37</v>
      </c>
      <c r="C218" t="s">
        <v>2653</v>
      </c>
      <c r="D218" t="s">
        <v>219</v>
      </c>
      <c r="E218" s="5">
        <v>1343</v>
      </c>
      <c r="G218" s="27" t="s">
        <v>3386</v>
      </c>
      <c r="H218">
        <v>0</v>
      </c>
      <c r="I218">
        <v>0</v>
      </c>
      <c r="J218">
        <v>0</v>
      </c>
      <c r="K218">
        <v>0</v>
      </c>
      <c r="L218">
        <v>0</v>
      </c>
      <c r="M218">
        <v>0</v>
      </c>
      <c r="N218">
        <v>0</v>
      </c>
      <c r="O218">
        <v>0</v>
      </c>
      <c r="P218" s="5">
        <f t="shared" si="9"/>
        <v>0</v>
      </c>
      <c r="Q218">
        <v>0</v>
      </c>
      <c r="R218">
        <v>0</v>
      </c>
      <c r="S218">
        <v>0</v>
      </c>
      <c r="T218">
        <v>0</v>
      </c>
      <c r="U218">
        <v>0</v>
      </c>
      <c r="V218">
        <v>0</v>
      </c>
      <c r="W218">
        <v>0</v>
      </c>
      <c r="X218" s="5">
        <f t="shared" si="10"/>
        <v>0</v>
      </c>
      <c r="Y218">
        <v>0</v>
      </c>
      <c r="Z218">
        <v>0</v>
      </c>
      <c r="AA218">
        <v>0</v>
      </c>
      <c r="AB218">
        <f>7/12</f>
        <v>0.58333333333333337</v>
      </c>
      <c r="AC218">
        <v>0</v>
      </c>
      <c r="AD218">
        <v>0</v>
      </c>
      <c r="AE218">
        <v>0</v>
      </c>
      <c r="AF218" s="11">
        <f t="shared" si="11"/>
        <v>0.58333333333333337</v>
      </c>
      <c r="AG218">
        <f>7/12</f>
        <v>0.58333333333333337</v>
      </c>
      <c r="AH218">
        <v>0</v>
      </c>
      <c r="AI218" t="s">
        <v>2478</v>
      </c>
      <c r="AJ218" t="s">
        <v>1901</v>
      </c>
    </row>
    <row r="219" spans="1:37" x14ac:dyDescent="0.25">
      <c r="A219">
        <v>1862</v>
      </c>
      <c r="B219" t="s">
        <v>32</v>
      </c>
      <c r="C219" t="s">
        <v>2885</v>
      </c>
      <c r="D219" t="s">
        <v>219</v>
      </c>
      <c r="E219" s="5">
        <v>1344</v>
      </c>
      <c r="F219" t="s">
        <v>973</v>
      </c>
      <c r="G219">
        <v>19</v>
      </c>
      <c r="H219">
        <v>0</v>
      </c>
      <c r="I219">
        <v>0</v>
      </c>
      <c r="J219">
        <v>0</v>
      </c>
      <c r="K219">
        <v>0</v>
      </c>
      <c r="L219">
        <v>0</v>
      </c>
      <c r="M219">
        <v>0</v>
      </c>
      <c r="N219">
        <v>5</v>
      </c>
      <c r="O219">
        <v>0</v>
      </c>
      <c r="P219" s="5">
        <f t="shared" si="9"/>
        <v>12.1875</v>
      </c>
      <c r="Q219">
        <v>0</v>
      </c>
      <c r="R219">
        <v>0</v>
      </c>
      <c r="S219">
        <v>0</v>
      </c>
      <c r="T219">
        <v>0</v>
      </c>
      <c r="U219">
        <f>1+1/2</f>
        <v>1.5</v>
      </c>
      <c r="V219">
        <v>0</v>
      </c>
      <c r="W219">
        <v>0</v>
      </c>
      <c r="X219" s="5">
        <f t="shared" si="10"/>
        <v>3.65625</v>
      </c>
      <c r="Y219">
        <v>0</v>
      </c>
      <c r="Z219">
        <v>0</v>
      </c>
      <c r="AA219">
        <v>0</v>
      </c>
      <c r="AB219">
        <f>18/12</f>
        <v>1.5</v>
      </c>
      <c r="AC219">
        <v>0</v>
      </c>
      <c r="AD219">
        <v>0</v>
      </c>
      <c r="AE219">
        <v>0</v>
      </c>
      <c r="AF219" s="11">
        <f t="shared" si="11"/>
        <v>1.5</v>
      </c>
      <c r="AG219">
        <v>0</v>
      </c>
      <c r="AH219">
        <v>0</v>
      </c>
      <c r="AI219" t="s">
        <v>3518</v>
      </c>
      <c r="AK219" t="s">
        <v>3517</v>
      </c>
    </row>
    <row r="220" spans="1:37" x14ac:dyDescent="0.25">
      <c r="A220">
        <v>1872</v>
      </c>
      <c r="B220" t="s">
        <v>107</v>
      </c>
      <c r="C220" t="s">
        <v>2018</v>
      </c>
      <c r="D220" t="s">
        <v>219</v>
      </c>
      <c r="E220" s="5">
        <v>1345</v>
      </c>
      <c r="F220" t="s">
        <v>265</v>
      </c>
      <c r="G220">
        <v>29</v>
      </c>
      <c r="H220">
        <v>0</v>
      </c>
      <c r="I220">
        <v>0</v>
      </c>
      <c r="J220">
        <v>0</v>
      </c>
      <c r="K220">
        <v>0</v>
      </c>
      <c r="L220">
        <v>0</v>
      </c>
      <c r="M220">
        <v>0</v>
      </c>
      <c r="N220">
        <v>1</v>
      </c>
      <c r="O220">
        <v>0</v>
      </c>
      <c r="P220" s="5">
        <f t="shared" si="9"/>
        <v>2.4375</v>
      </c>
      <c r="Q220">
        <v>0</v>
      </c>
      <c r="R220">
        <v>0</v>
      </c>
      <c r="S220">
        <v>0</v>
      </c>
      <c r="T220">
        <v>0</v>
      </c>
      <c r="U220">
        <f>1/2</f>
        <v>0.5</v>
      </c>
      <c r="V220">
        <v>0</v>
      </c>
      <c r="W220">
        <v>0</v>
      </c>
      <c r="X220" s="5">
        <f t="shared" si="10"/>
        <v>1.21875</v>
      </c>
      <c r="Y220">
        <v>0</v>
      </c>
      <c r="Z220">
        <v>0</v>
      </c>
      <c r="AA220">
        <v>0</v>
      </c>
      <c r="AB220">
        <f>4/12</f>
        <v>0.33333333333333331</v>
      </c>
      <c r="AC220">
        <v>0</v>
      </c>
      <c r="AD220">
        <v>0</v>
      </c>
      <c r="AE220">
        <v>0</v>
      </c>
      <c r="AF220" s="11">
        <f t="shared" si="11"/>
        <v>0.33333333333333331</v>
      </c>
      <c r="AG220">
        <v>0</v>
      </c>
      <c r="AH220">
        <v>0</v>
      </c>
      <c r="AI220" t="s">
        <v>3532</v>
      </c>
      <c r="AK220" t="s">
        <v>2020</v>
      </c>
    </row>
    <row r="221" spans="1:37" x14ac:dyDescent="0.25">
      <c r="A221">
        <v>1891</v>
      </c>
      <c r="B221" t="s">
        <v>3570</v>
      </c>
      <c r="C221" t="s">
        <v>33</v>
      </c>
      <c r="D221" t="s">
        <v>219</v>
      </c>
      <c r="E221">
        <v>1380</v>
      </c>
      <c r="F221" t="s">
        <v>973</v>
      </c>
      <c r="G221">
        <v>9</v>
      </c>
      <c r="H221">
        <v>0</v>
      </c>
      <c r="I221">
        <v>0</v>
      </c>
      <c r="J221">
        <v>0</v>
      </c>
      <c r="K221">
        <v>0</v>
      </c>
      <c r="L221">
        <v>0</v>
      </c>
      <c r="M221">
        <v>0</v>
      </c>
      <c r="N221">
        <v>0</v>
      </c>
      <c r="O221">
        <v>0</v>
      </c>
      <c r="P221" s="5">
        <f t="shared" si="9"/>
        <v>0</v>
      </c>
      <c r="Q221">
        <v>0</v>
      </c>
      <c r="R221">
        <v>0</v>
      </c>
      <c r="S221">
        <v>1</v>
      </c>
      <c r="T221">
        <v>0</v>
      </c>
      <c r="U221">
        <v>0</v>
      </c>
      <c r="V221">
        <v>0</v>
      </c>
      <c r="W221">
        <v>0</v>
      </c>
      <c r="X221" s="5">
        <f t="shared" si="10"/>
        <v>19.5</v>
      </c>
      <c r="Y221">
        <v>0</v>
      </c>
      <c r="Z221">
        <v>0</v>
      </c>
      <c r="AA221">
        <v>0</v>
      </c>
      <c r="AB221">
        <f>5/12</f>
        <v>0.41666666666666669</v>
      </c>
      <c r="AC221">
        <v>0</v>
      </c>
      <c r="AD221">
        <v>0</v>
      </c>
      <c r="AE221">
        <v>0</v>
      </c>
      <c r="AF221" s="11">
        <f t="shared" si="11"/>
        <v>0.41666666666666669</v>
      </c>
      <c r="AG221">
        <v>0</v>
      </c>
      <c r="AH221">
        <v>6</v>
      </c>
      <c r="AI221" t="s">
        <v>3594</v>
      </c>
    </row>
  </sheetData>
  <autoFilter ref="A1:AL221" xr:uid="{E1859B1E-8657-47C1-ABD3-DCA4E545EEB7}">
    <sortState xmlns:xlrd2="http://schemas.microsoft.com/office/spreadsheetml/2017/richdata2" ref="A2:AL221">
      <sortCondition ref="A1:A220"/>
    </sortState>
  </autoFilter>
  <sortState xmlns:xlrd2="http://schemas.microsoft.com/office/spreadsheetml/2017/richdata2" ref="A2:AL221">
    <sortCondition ref="A2:A221"/>
  </sortState>
  <pageMargins left="0.7" right="0.7" top="0.75" bottom="0.75" header="0.3" footer="0.3"/>
  <pageSetup paperSize="9" orientation="portrait" horizontalDpi="4294967293"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R1134"/>
  <sheetViews>
    <sheetView topLeftCell="A992" zoomScaleNormal="100" workbookViewId="0">
      <selection activeCell="J1005" sqref="J1005"/>
    </sheetView>
  </sheetViews>
  <sheetFormatPr baseColWidth="10" defaultRowHeight="15" x14ac:dyDescent="0.25"/>
  <cols>
    <col min="1" max="1" width="5.5703125" bestFit="1" customWidth="1"/>
    <col min="4" max="4" width="6.42578125" bestFit="1" customWidth="1"/>
    <col min="5" max="5" width="6.85546875" bestFit="1" customWidth="1"/>
    <col min="6" max="6" width="10.42578125" bestFit="1" customWidth="1"/>
    <col min="7" max="7" width="4.7109375" bestFit="1" customWidth="1"/>
    <col min="8" max="8" width="18.5703125" bestFit="1" customWidth="1"/>
    <col min="9" max="9" width="18.5703125" customWidth="1"/>
    <col min="10" max="10" width="22.5703125" bestFit="1" customWidth="1"/>
    <col min="11" max="11" width="17.7109375" bestFit="1" customWidth="1"/>
    <col min="12" max="16" width="16.85546875" customWidth="1"/>
  </cols>
  <sheetData>
    <row r="1" spans="1:18" x14ac:dyDescent="0.25">
      <c r="A1" t="s">
        <v>280</v>
      </c>
      <c r="B1" t="s">
        <v>187</v>
      </c>
      <c r="C1" t="s">
        <v>281</v>
      </c>
      <c r="D1" t="s">
        <v>221</v>
      </c>
      <c r="E1" t="s">
        <v>282</v>
      </c>
      <c r="F1" t="s">
        <v>194</v>
      </c>
      <c r="G1" t="s">
        <v>195</v>
      </c>
      <c r="H1" t="s">
        <v>330</v>
      </c>
      <c r="I1" t="s">
        <v>186</v>
      </c>
      <c r="J1" t="s">
        <v>281</v>
      </c>
      <c r="K1" t="s">
        <v>286</v>
      </c>
      <c r="L1" t="s">
        <v>287</v>
      </c>
      <c r="M1" t="s">
        <v>320</v>
      </c>
      <c r="N1" t="s">
        <v>412</v>
      </c>
      <c r="O1" t="s">
        <v>499</v>
      </c>
      <c r="P1" t="s">
        <v>2106</v>
      </c>
      <c r="Q1" t="s">
        <v>185</v>
      </c>
      <c r="R1" t="s">
        <v>3894</v>
      </c>
    </row>
    <row r="2" spans="1:18" x14ac:dyDescent="0.25">
      <c r="A2">
        <v>142</v>
      </c>
      <c r="B2" t="s">
        <v>165</v>
      </c>
      <c r="C2" t="s">
        <v>197</v>
      </c>
      <c r="D2" t="s">
        <v>219</v>
      </c>
      <c r="E2">
        <v>1342</v>
      </c>
      <c r="F2" t="s">
        <v>198</v>
      </c>
      <c r="G2">
        <v>17</v>
      </c>
      <c r="H2" s="5" t="s">
        <v>725</v>
      </c>
      <c r="J2" t="s">
        <v>1200</v>
      </c>
    </row>
    <row r="3" spans="1:18" x14ac:dyDescent="0.25">
      <c r="A3">
        <v>142</v>
      </c>
      <c r="B3" t="s">
        <v>165</v>
      </c>
      <c r="C3" t="s">
        <v>197</v>
      </c>
      <c r="D3" t="s">
        <v>219</v>
      </c>
      <c r="E3">
        <v>1342</v>
      </c>
      <c r="F3" t="s">
        <v>198</v>
      </c>
      <c r="G3">
        <v>17</v>
      </c>
      <c r="H3" s="5" t="s">
        <v>227</v>
      </c>
      <c r="J3" t="s">
        <v>1200</v>
      </c>
      <c r="K3" t="s">
        <v>1201</v>
      </c>
    </row>
    <row r="4" spans="1:18" x14ac:dyDescent="0.25">
      <c r="A4">
        <v>142</v>
      </c>
      <c r="B4" t="s">
        <v>165</v>
      </c>
      <c r="C4" t="s">
        <v>197</v>
      </c>
      <c r="D4" t="s">
        <v>219</v>
      </c>
      <c r="E4">
        <v>1342</v>
      </c>
      <c r="F4" t="s">
        <v>198</v>
      </c>
      <c r="G4">
        <v>17</v>
      </c>
      <c r="H4" s="5" t="s">
        <v>833</v>
      </c>
      <c r="Q4" t="s">
        <v>1199</v>
      </c>
    </row>
    <row r="5" spans="1:18" x14ac:dyDescent="0.25">
      <c r="A5">
        <v>151</v>
      </c>
      <c r="B5" t="s">
        <v>11</v>
      </c>
      <c r="C5" t="s">
        <v>197</v>
      </c>
      <c r="D5" t="s">
        <v>219</v>
      </c>
      <c r="E5">
        <v>1342</v>
      </c>
      <c r="F5" t="s">
        <v>198</v>
      </c>
      <c r="G5">
        <v>17</v>
      </c>
      <c r="H5" s="5" t="s">
        <v>833</v>
      </c>
      <c r="J5" t="s">
        <v>1213</v>
      </c>
    </row>
    <row r="6" spans="1:18" x14ac:dyDescent="0.25">
      <c r="A6">
        <v>151</v>
      </c>
      <c r="B6" t="s">
        <v>11</v>
      </c>
      <c r="C6" t="s">
        <v>197</v>
      </c>
      <c r="D6" t="s">
        <v>219</v>
      </c>
      <c r="E6">
        <v>1342</v>
      </c>
      <c r="F6" t="s">
        <v>198</v>
      </c>
      <c r="G6">
        <v>17</v>
      </c>
      <c r="H6" s="5" t="s">
        <v>540</v>
      </c>
      <c r="J6" t="s">
        <v>1205</v>
      </c>
    </row>
    <row r="7" spans="1:18" x14ac:dyDescent="0.25">
      <c r="A7">
        <v>151</v>
      </c>
      <c r="B7" t="s">
        <v>11</v>
      </c>
      <c r="C7" t="s">
        <v>197</v>
      </c>
      <c r="D7" t="s">
        <v>219</v>
      </c>
      <c r="E7">
        <v>1342</v>
      </c>
      <c r="F7" t="s">
        <v>198</v>
      </c>
      <c r="G7">
        <v>17</v>
      </c>
      <c r="H7" s="5" t="s">
        <v>468</v>
      </c>
      <c r="J7" t="s">
        <v>1205</v>
      </c>
    </row>
    <row r="8" spans="1:18" x14ac:dyDescent="0.25">
      <c r="A8">
        <v>151</v>
      </c>
      <c r="B8" t="s">
        <v>11</v>
      </c>
      <c r="C8" t="s">
        <v>197</v>
      </c>
      <c r="D8" t="s">
        <v>219</v>
      </c>
      <c r="E8">
        <v>1342</v>
      </c>
      <c r="F8" t="s">
        <v>198</v>
      </c>
      <c r="G8">
        <v>17</v>
      </c>
      <c r="H8" t="s">
        <v>398</v>
      </c>
      <c r="Q8" t="s">
        <v>1210</v>
      </c>
    </row>
    <row r="9" spans="1:18" x14ac:dyDescent="0.25">
      <c r="A9">
        <v>151</v>
      </c>
      <c r="B9" t="s">
        <v>11</v>
      </c>
      <c r="C9" t="s">
        <v>197</v>
      </c>
      <c r="D9" t="s">
        <v>219</v>
      </c>
      <c r="E9">
        <v>1342</v>
      </c>
      <c r="F9" t="s">
        <v>198</v>
      </c>
      <c r="G9">
        <v>17</v>
      </c>
      <c r="H9" s="5" t="s">
        <v>833</v>
      </c>
      <c r="Q9" t="s">
        <v>1211</v>
      </c>
    </row>
    <row r="10" spans="1:18" x14ac:dyDescent="0.25">
      <c r="A10">
        <v>162</v>
      </c>
      <c r="B10" t="s">
        <v>39</v>
      </c>
      <c r="C10" t="s">
        <v>197</v>
      </c>
      <c r="D10" t="s">
        <v>219</v>
      </c>
      <c r="E10">
        <v>1342</v>
      </c>
      <c r="F10" t="s">
        <v>198</v>
      </c>
      <c r="G10">
        <v>18</v>
      </c>
      <c r="H10" s="5" t="s">
        <v>1226</v>
      </c>
      <c r="I10" s="5" t="s">
        <v>1225</v>
      </c>
      <c r="J10" t="s">
        <v>1223</v>
      </c>
      <c r="K10" t="s">
        <v>332</v>
      </c>
      <c r="L10" t="s">
        <v>1224</v>
      </c>
      <c r="Q10" t="s">
        <v>1222</v>
      </c>
      <c r="R10" t="s">
        <v>463</v>
      </c>
    </row>
    <row r="11" spans="1:18" x14ac:dyDescent="0.25">
      <c r="A11">
        <v>181</v>
      </c>
      <c r="B11" t="s">
        <v>250</v>
      </c>
      <c r="C11" t="s">
        <v>197</v>
      </c>
      <c r="D11" t="s">
        <v>219</v>
      </c>
      <c r="E11">
        <v>1342</v>
      </c>
      <c r="F11" t="s">
        <v>198</v>
      </c>
      <c r="G11">
        <v>18</v>
      </c>
      <c r="H11" s="5" t="s">
        <v>679</v>
      </c>
      <c r="I11" s="5" t="s">
        <v>1241</v>
      </c>
      <c r="J11" s="5" t="s">
        <v>1242</v>
      </c>
      <c r="K11" s="5" t="s">
        <v>1244</v>
      </c>
      <c r="Q11" t="s">
        <v>1243</v>
      </c>
    </row>
    <row r="12" spans="1:18" x14ac:dyDescent="0.25">
      <c r="A12">
        <v>181</v>
      </c>
      <c r="B12" t="s">
        <v>250</v>
      </c>
      <c r="C12" t="s">
        <v>197</v>
      </c>
      <c r="D12" t="s">
        <v>219</v>
      </c>
      <c r="E12">
        <v>1342</v>
      </c>
      <c r="F12" t="s">
        <v>198</v>
      </c>
      <c r="G12">
        <v>18</v>
      </c>
      <c r="H12" s="5" t="s">
        <v>1246</v>
      </c>
      <c r="I12" s="5" t="s">
        <v>1248</v>
      </c>
      <c r="Q12" t="s">
        <v>1247</v>
      </c>
      <c r="R12" t="s">
        <v>463</v>
      </c>
    </row>
    <row r="13" spans="1:18" x14ac:dyDescent="0.25">
      <c r="A13">
        <v>181</v>
      </c>
      <c r="B13" t="s">
        <v>250</v>
      </c>
      <c r="C13" t="s">
        <v>197</v>
      </c>
      <c r="D13" t="s">
        <v>219</v>
      </c>
      <c r="E13">
        <v>1342</v>
      </c>
      <c r="F13" t="s">
        <v>198</v>
      </c>
      <c r="G13">
        <v>18</v>
      </c>
      <c r="H13" s="5" t="s">
        <v>389</v>
      </c>
      <c r="J13" t="s">
        <v>1239</v>
      </c>
    </row>
    <row r="14" spans="1:18" x14ac:dyDescent="0.25">
      <c r="A14">
        <v>182</v>
      </c>
      <c r="B14" t="s">
        <v>465</v>
      </c>
      <c r="C14" t="s">
        <v>197</v>
      </c>
      <c r="D14" t="s">
        <v>219</v>
      </c>
      <c r="E14">
        <v>1346</v>
      </c>
      <c r="F14" t="s">
        <v>1082</v>
      </c>
      <c r="G14">
        <v>12</v>
      </c>
      <c r="H14" s="5" t="s">
        <v>1262</v>
      </c>
      <c r="I14" s="5" t="s">
        <v>1266</v>
      </c>
      <c r="K14" t="s">
        <v>1263</v>
      </c>
      <c r="L14" t="s">
        <v>1264</v>
      </c>
    </row>
    <row r="15" spans="1:18" x14ac:dyDescent="0.25">
      <c r="A15">
        <v>182</v>
      </c>
      <c r="B15" t="s">
        <v>465</v>
      </c>
      <c r="C15" t="s">
        <v>197</v>
      </c>
      <c r="D15" t="s">
        <v>219</v>
      </c>
      <c r="E15">
        <v>1346</v>
      </c>
      <c r="F15" t="s">
        <v>1082</v>
      </c>
      <c r="G15">
        <v>12</v>
      </c>
      <c r="H15" s="5" t="s">
        <v>679</v>
      </c>
      <c r="I15" s="5" t="s">
        <v>1265</v>
      </c>
    </row>
    <row r="16" spans="1:18" x14ac:dyDescent="0.25">
      <c r="A16">
        <v>182</v>
      </c>
      <c r="B16" t="s">
        <v>465</v>
      </c>
      <c r="C16" t="s">
        <v>197</v>
      </c>
      <c r="D16" t="s">
        <v>219</v>
      </c>
      <c r="E16">
        <v>1346</v>
      </c>
      <c r="F16" t="s">
        <v>1082</v>
      </c>
      <c r="G16">
        <v>12</v>
      </c>
      <c r="H16" s="5" t="s">
        <v>1258</v>
      </c>
      <c r="K16" t="s">
        <v>1259</v>
      </c>
      <c r="L16" t="s">
        <v>1260</v>
      </c>
      <c r="M16" t="s">
        <v>1261</v>
      </c>
    </row>
    <row r="17" spans="1:18" x14ac:dyDescent="0.25">
      <c r="A17">
        <v>191</v>
      </c>
      <c r="B17" t="s">
        <v>217</v>
      </c>
      <c r="C17" t="s">
        <v>197</v>
      </c>
      <c r="D17" t="s">
        <v>220</v>
      </c>
      <c r="E17">
        <v>1342</v>
      </c>
      <c r="F17" t="s">
        <v>198</v>
      </c>
      <c r="G17">
        <v>18</v>
      </c>
      <c r="H17" s="5" t="s">
        <v>389</v>
      </c>
      <c r="J17" t="s">
        <v>1239</v>
      </c>
    </row>
    <row r="18" spans="1:18" x14ac:dyDescent="0.25">
      <c r="A18">
        <v>191</v>
      </c>
      <c r="B18" t="s">
        <v>217</v>
      </c>
      <c r="C18" t="s">
        <v>197</v>
      </c>
      <c r="D18" t="s">
        <v>220</v>
      </c>
      <c r="E18">
        <v>1342</v>
      </c>
      <c r="F18" t="s">
        <v>198</v>
      </c>
      <c r="G18">
        <v>18</v>
      </c>
      <c r="H18" s="5" t="s">
        <v>488</v>
      </c>
      <c r="K18" t="s">
        <v>1269</v>
      </c>
      <c r="L18" t="s">
        <v>1270</v>
      </c>
    </row>
    <row r="19" spans="1:18" x14ac:dyDescent="0.25">
      <c r="A19">
        <v>201</v>
      </c>
      <c r="B19" t="s">
        <v>11</v>
      </c>
      <c r="C19" t="s">
        <v>197</v>
      </c>
      <c r="D19" t="s">
        <v>219</v>
      </c>
      <c r="E19">
        <v>1342</v>
      </c>
      <c r="F19" t="s">
        <v>198</v>
      </c>
      <c r="G19">
        <v>18</v>
      </c>
      <c r="H19" t="s">
        <v>645</v>
      </c>
      <c r="I19" s="5" t="s">
        <v>150</v>
      </c>
      <c r="Q19" t="s">
        <v>1277</v>
      </c>
    </row>
    <row r="20" spans="1:18" x14ac:dyDescent="0.25">
      <c r="A20">
        <v>201</v>
      </c>
      <c r="B20" t="s">
        <v>11</v>
      </c>
      <c r="C20" t="s">
        <v>197</v>
      </c>
      <c r="D20" t="s">
        <v>219</v>
      </c>
      <c r="E20">
        <v>1342</v>
      </c>
      <c r="F20" t="s">
        <v>198</v>
      </c>
      <c r="G20">
        <v>18</v>
      </c>
      <c r="H20" s="5" t="s">
        <v>389</v>
      </c>
      <c r="J20" t="s">
        <v>1273</v>
      </c>
    </row>
    <row r="21" spans="1:18" x14ac:dyDescent="0.25">
      <c r="A21">
        <v>201</v>
      </c>
      <c r="B21" t="s">
        <v>11</v>
      </c>
      <c r="C21" t="s">
        <v>197</v>
      </c>
      <c r="D21" t="s">
        <v>219</v>
      </c>
      <c r="E21">
        <v>1342</v>
      </c>
      <c r="F21" t="s">
        <v>198</v>
      </c>
      <c r="G21">
        <v>18</v>
      </c>
      <c r="H21" s="5" t="s">
        <v>468</v>
      </c>
      <c r="J21" t="s">
        <v>1273</v>
      </c>
    </row>
    <row r="22" spans="1:18" x14ac:dyDescent="0.25">
      <c r="A22">
        <v>201</v>
      </c>
      <c r="B22" t="s">
        <v>11</v>
      </c>
      <c r="C22" t="s">
        <v>197</v>
      </c>
      <c r="D22" t="s">
        <v>219</v>
      </c>
      <c r="E22">
        <v>1342</v>
      </c>
      <c r="F22" t="s">
        <v>198</v>
      </c>
      <c r="G22">
        <v>18</v>
      </c>
      <c r="H22" s="8" t="s">
        <v>398</v>
      </c>
      <c r="J22" t="s">
        <v>1274</v>
      </c>
      <c r="K22" t="s">
        <v>1275</v>
      </c>
      <c r="L22" t="s">
        <v>1276</v>
      </c>
    </row>
    <row r="23" spans="1:18" x14ac:dyDescent="0.25">
      <c r="A23">
        <v>211</v>
      </c>
      <c r="B23" t="s">
        <v>1282</v>
      </c>
      <c r="C23" t="s">
        <v>197</v>
      </c>
      <c r="D23" t="s">
        <v>219</v>
      </c>
      <c r="E23">
        <v>1342</v>
      </c>
      <c r="F23" t="s">
        <v>198</v>
      </c>
      <c r="G23">
        <v>18</v>
      </c>
      <c r="H23" s="5" t="s">
        <v>389</v>
      </c>
      <c r="I23" s="5" t="s">
        <v>1294</v>
      </c>
      <c r="J23" t="s">
        <v>1293</v>
      </c>
      <c r="R23" t="s">
        <v>463</v>
      </c>
    </row>
    <row r="24" spans="1:18" x14ac:dyDescent="0.25">
      <c r="A24">
        <v>211</v>
      </c>
      <c r="B24" t="s">
        <v>1282</v>
      </c>
      <c r="C24" t="s">
        <v>197</v>
      </c>
      <c r="D24" t="s">
        <v>219</v>
      </c>
      <c r="E24">
        <v>1342</v>
      </c>
      <c r="F24" t="s">
        <v>198</v>
      </c>
      <c r="G24">
        <v>18</v>
      </c>
      <c r="H24" s="5" t="s">
        <v>1295</v>
      </c>
      <c r="J24" t="s">
        <v>1297</v>
      </c>
      <c r="Q24" t="s">
        <v>1296</v>
      </c>
      <c r="R24" t="s">
        <v>463</v>
      </c>
    </row>
    <row r="25" spans="1:18" x14ac:dyDescent="0.25">
      <c r="A25">
        <v>211</v>
      </c>
      <c r="B25" t="s">
        <v>1282</v>
      </c>
      <c r="C25" t="s">
        <v>197</v>
      </c>
      <c r="D25" t="s">
        <v>219</v>
      </c>
      <c r="E25">
        <v>1342</v>
      </c>
      <c r="F25" t="s">
        <v>198</v>
      </c>
      <c r="G25">
        <v>18</v>
      </c>
      <c r="H25" s="5" t="s">
        <v>389</v>
      </c>
      <c r="J25" t="s">
        <v>1239</v>
      </c>
    </row>
    <row r="26" spans="1:18" x14ac:dyDescent="0.25">
      <c r="A26">
        <v>211</v>
      </c>
      <c r="B26" t="s">
        <v>1282</v>
      </c>
      <c r="C26" t="s">
        <v>197</v>
      </c>
      <c r="D26" t="s">
        <v>219</v>
      </c>
      <c r="E26">
        <v>1342</v>
      </c>
      <c r="F26" t="s">
        <v>198</v>
      </c>
      <c r="G26">
        <v>18</v>
      </c>
      <c r="H26" s="5" t="s">
        <v>488</v>
      </c>
      <c r="J26" t="s">
        <v>1283</v>
      </c>
    </row>
    <row r="27" spans="1:18" x14ac:dyDescent="0.25">
      <c r="A27">
        <v>211</v>
      </c>
      <c r="B27" t="s">
        <v>1282</v>
      </c>
      <c r="C27" t="s">
        <v>197</v>
      </c>
      <c r="D27" t="s">
        <v>219</v>
      </c>
      <c r="E27">
        <v>1342</v>
      </c>
      <c r="F27" t="s">
        <v>198</v>
      </c>
      <c r="G27">
        <v>18</v>
      </c>
      <c r="H27" s="5" t="s">
        <v>706</v>
      </c>
      <c r="J27" t="s">
        <v>1287</v>
      </c>
      <c r="K27" t="s">
        <v>1288</v>
      </c>
      <c r="L27" t="s">
        <v>1289</v>
      </c>
      <c r="Q27" t="s">
        <v>1286</v>
      </c>
    </row>
    <row r="28" spans="1:18" x14ac:dyDescent="0.25">
      <c r="A28">
        <v>221</v>
      </c>
      <c r="B28" t="s">
        <v>138</v>
      </c>
      <c r="C28" t="s">
        <v>197</v>
      </c>
      <c r="D28" t="s">
        <v>219</v>
      </c>
      <c r="E28">
        <v>1342</v>
      </c>
      <c r="F28" t="s">
        <v>198</v>
      </c>
      <c r="G28">
        <v>18</v>
      </c>
      <c r="H28" s="5" t="s">
        <v>1306</v>
      </c>
      <c r="I28" s="5" t="s">
        <v>1305</v>
      </c>
      <c r="J28" s="5" t="s">
        <v>1307</v>
      </c>
      <c r="R28" t="s">
        <v>463</v>
      </c>
    </row>
    <row r="29" spans="1:18" x14ac:dyDescent="0.25">
      <c r="A29">
        <v>221</v>
      </c>
      <c r="B29" t="s">
        <v>138</v>
      </c>
      <c r="C29" t="s">
        <v>197</v>
      </c>
      <c r="D29" t="s">
        <v>219</v>
      </c>
      <c r="E29">
        <v>1342</v>
      </c>
      <c r="F29" t="s">
        <v>198</v>
      </c>
      <c r="G29">
        <v>18</v>
      </c>
      <c r="H29" s="5" t="s">
        <v>389</v>
      </c>
      <c r="I29" s="5" t="s">
        <v>1305</v>
      </c>
      <c r="J29" t="s">
        <v>1239</v>
      </c>
      <c r="R29" t="s">
        <v>463</v>
      </c>
    </row>
    <row r="30" spans="1:18" x14ac:dyDescent="0.25">
      <c r="A30">
        <v>221</v>
      </c>
      <c r="B30" t="s">
        <v>138</v>
      </c>
      <c r="C30" t="s">
        <v>197</v>
      </c>
      <c r="D30" t="s">
        <v>219</v>
      </c>
      <c r="E30">
        <v>1342</v>
      </c>
      <c r="F30" t="s">
        <v>198</v>
      </c>
      <c r="G30">
        <v>18</v>
      </c>
      <c r="H30" s="5" t="s">
        <v>389</v>
      </c>
      <c r="J30" t="s">
        <v>1239</v>
      </c>
    </row>
    <row r="31" spans="1:18" x14ac:dyDescent="0.25">
      <c r="A31">
        <v>221</v>
      </c>
      <c r="B31" t="s">
        <v>138</v>
      </c>
      <c r="C31" t="s">
        <v>197</v>
      </c>
      <c r="D31" t="s">
        <v>219</v>
      </c>
      <c r="E31">
        <v>1342</v>
      </c>
      <c r="F31" t="s">
        <v>198</v>
      </c>
      <c r="G31">
        <v>18</v>
      </c>
      <c r="H31" s="8" t="s">
        <v>398</v>
      </c>
      <c r="J31" t="s">
        <v>1302</v>
      </c>
      <c r="K31" t="s">
        <v>1303</v>
      </c>
    </row>
    <row r="32" spans="1:18" x14ac:dyDescent="0.25">
      <c r="A32">
        <v>261</v>
      </c>
      <c r="B32" t="s">
        <v>242</v>
      </c>
      <c r="C32" t="s">
        <v>197</v>
      </c>
      <c r="D32" t="s">
        <v>220</v>
      </c>
      <c r="E32">
        <v>1343</v>
      </c>
      <c r="F32" t="s">
        <v>198</v>
      </c>
      <c r="G32">
        <v>31</v>
      </c>
      <c r="H32" t="s">
        <v>3269</v>
      </c>
      <c r="I32" t="s">
        <v>297</v>
      </c>
    </row>
    <row r="33" spans="1:17" x14ac:dyDescent="0.25">
      <c r="A33">
        <v>271</v>
      </c>
      <c r="B33" t="s">
        <v>250</v>
      </c>
      <c r="C33" t="s">
        <v>139</v>
      </c>
      <c r="D33" t="s">
        <v>219</v>
      </c>
      <c r="E33">
        <v>1343</v>
      </c>
      <c r="F33" t="s">
        <v>249</v>
      </c>
      <c r="G33">
        <v>2</v>
      </c>
      <c r="H33" t="s">
        <v>292</v>
      </c>
      <c r="I33" t="s">
        <v>293</v>
      </c>
    </row>
    <row r="34" spans="1:17" x14ac:dyDescent="0.25">
      <c r="A34">
        <v>281</v>
      </c>
      <c r="B34" t="s">
        <v>276</v>
      </c>
      <c r="C34" t="s">
        <v>139</v>
      </c>
      <c r="D34" t="s">
        <v>219</v>
      </c>
      <c r="E34">
        <v>1343</v>
      </c>
      <c r="F34" t="s">
        <v>249</v>
      </c>
      <c r="G34">
        <v>3</v>
      </c>
      <c r="H34" t="s">
        <v>3269</v>
      </c>
      <c r="J34" t="s">
        <v>288</v>
      </c>
      <c r="K34" t="s">
        <v>290</v>
      </c>
      <c r="L34" t="s">
        <v>291</v>
      </c>
      <c r="Q34" t="s">
        <v>289</v>
      </c>
    </row>
    <row r="35" spans="1:17" x14ac:dyDescent="0.25">
      <c r="A35">
        <v>281</v>
      </c>
      <c r="B35" t="s">
        <v>276</v>
      </c>
      <c r="C35" t="s">
        <v>139</v>
      </c>
      <c r="D35" t="s">
        <v>219</v>
      </c>
      <c r="E35">
        <v>1343</v>
      </c>
      <c r="F35" t="s">
        <v>249</v>
      </c>
      <c r="G35">
        <v>3</v>
      </c>
      <c r="H35" t="s">
        <v>292</v>
      </c>
      <c r="Q35" t="s">
        <v>294</v>
      </c>
    </row>
    <row r="36" spans="1:17" x14ac:dyDescent="0.25">
      <c r="A36">
        <v>291</v>
      </c>
      <c r="B36" t="s">
        <v>302</v>
      </c>
      <c r="C36" t="s">
        <v>139</v>
      </c>
      <c r="D36" t="s">
        <v>219</v>
      </c>
      <c r="E36" s="8">
        <v>1343</v>
      </c>
      <c r="F36" s="8" t="s">
        <v>249</v>
      </c>
      <c r="G36" s="8">
        <v>3</v>
      </c>
      <c r="H36" s="8" t="s">
        <v>206</v>
      </c>
      <c r="I36" s="8"/>
      <c r="J36" s="5"/>
      <c r="Q36" t="s">
        <v>308</v>
      </c>
    </row>
    <row r="37" spans="1:17" x14ac:dyDescent="0.25">
      <c r="A37">
        <v>301</v>
      </c>
      <c r="B37" t="s">
        <v>315</v>
      </c>
      <c r="C37" t="s">
        <v>317</v>
      </c>
      <c r="D37" t="s">
        <v>219</v>
      </c>
      <c r="E37">
        <v>1343</v>
      </c>
      <c r="F37" t="s">
        <v>249</v>
      </c>
      <c r="G37">
        <v>5</v>
      </c>
      <c r="H37" s="8" t="s">
        <v>227</v>
      </c>
      <c r="I37" s="8" t="s">
        <v>702</v>
      </c>
      <c r="K37" s="8" t="s">
        <v>318</v>
      </c>
      <c r="L37" s="8" t="s">
        <v>319</v>
      </c>
      <c r="M37" s="8" t="s">
        <v>326</v>
      </c>
      <c r="N37" s="8"/>
      <c r="O37" s="8"/>
      <c r="P37" s="8"/>
    </row>
    <row r="38" spans="1:17" x14ac:dyDescent="0.25">
      <c r="A38">
        <v>301</v>
      </c>
      <c r="B38" t="s">
        <v>315</v>
      </c>
      <c r="C38" t="s">
        <v>317</v>
      </c>
      <c r="D38" t="s">
        <v>219</v>
      </c>
      <c r="E38">
        <v>1343</v>
      </c>
      <c r="F38" t="s">
        <v>249</v>
      </c>
      <c r="G38">
        <v>5</v>
      </c>
      <c r="H38" s="8" t="s">
        <v>704</v>
      </c>
      <c r="I38" s="8" t="s">
        <v>703</v>
      </c>
      <c r="J38" s="8" t="s">
        <v>332</v>
      </c>
      <c r="K38" s="8"/>
      <c r="Q38" t="s">
        <v>333</v>
      </c>
    </row>
    <row r="39" spans="1:17" x14ac:dyDescent="0.25">
      <c r="A39">
        <v>301</v>
      </c>
      <c r="B39" t="s">
        <v>315</v>
      </c>
      <c r="C39" t="s">
        <v>317</v>
      </c>
      <c r="D39" t="s">
        <v>219</v>
      </c>
      <c r="E39">
        <v>1343</v>
      </c>
      <c r="F39" t="s">
        <v>249</v>
      </c>
      <c r="G39">
        <v>5</v>
      </c>
      <c r="H39" s="8" t="s">
        <v>328</v>
      </c>
      <c r="I39" s="8"/>
      <c r="J39" t="s">
        <v>325</v>
      </c>
      <c r="K39" s="8" t="s">
        <v>322</v>
      </c>
      <c r="L39" s="8" t="s">
        <v>324</v>
      </c>
      <c r="M39" s="8" t="s">
        <v>318</v>
      </c>
      <c r="N39" s="8"/>
      <c r="O39" s="8"/>
      <c r="P39" s="8"/>
    </row>
    <row r="40" spans="1:17" x14ac:dyDescent="0.25">
      <c r="A40">
        <v>301</v>
      </c>
      <c r="B40" t="s">
        <v>315</v>
      </c>
      <c r="C40" t="s">
        <v>317</v>
      </c>
      <c r="D40" t="s">
        <v>219</v>
      </c>
      <c r="E40">
        <v>1343</v>
      </c>
      <c r="F40" t="s">
        <v>249</v>
      </c>
      <c r="G40">
        <v>5</v>
      </c>
      <c r="H40" s="8" t="s">
        <v>329</v>
      </c>
      <c r="I40" s="8"/>
      <c r="K40" s="8" t="s">
        <v>331</v>
      </c>
      <c r="L40" s="8" t="s">
        <v>321</v>
      </c>
      <c r="M40" s="8" t="s">
        <v>323</v>
      </c>
    </row>
    <row r="41" spans="1:17" x14ac:dyDescent="0.25">
      <c r="A41">
        <v>311</v>
      </c>
      <c r="B41" t="s">
        <v>11</v>
      </c>
      <c r="C41" t="s">
        <v>341</v>
      </c>
      <c r="D41" t="s">
        <v>219</v>
      </c>
      <c r="E41">
        <v>1343</v>
      </c>
      <c r="F41" t="s">
        <v>249</v>
      </c>
      <c r="G41">
        <v>5</v>
      </c>
      <c r="H41" s="8" t="s">
        <v>417</v>
      </c>
      <c r="I41" s="8" t="s">
        <v>705</v>
      </c>
      <c r="K41" s="8" t="s">
        <v>346</v>
      </c>
      <c r="L41" s="8" t="s">
        <v>347</v>
      </c>
    </row>
    <row r="42" spans="1:17" x14ac:dyDescent="0.25">
      <c r="A42">
        <v>311</v>
      </c>
      <c r="B42" t="s">
        <v>11</v>
      </c>
      <c r="C42" t="s">
        <v>341</v>
      </c>
      <c r="D42" t="s">
        <v>219</v>
      </c>
      <c r="E42">
        <v>1343</v>
      </c>
      <c r="F42" t="s">
        <v>249</v>
      </c>
      <c r="G42">
        <v>5</v>
      </c>
      <c r="H42" s="8" t="s">
        <v>706</v>
      </c>
      <c r="I42" s="8" t="s">
        <v>707</v>
      </c>
      <c r="J42" s="8" t="s">
        <v>349</v>
      </c>
    </row>
    <row r="43" spans="1:17" x14ac:dyDescent="0.25">
      <c r="A43">
        <v>311</v>
      </c>
      <c r="B43" t="s">
        <v>11</v>
      </c>
      <c r="C43" t="s">
        <v>341</v>
      </c>
      <c r="D43" t="s">
        <v>219</v>
      </c>
      <c r="E43">
        <v>1343</v>
      </c>
      <c r="F43" t="s">
        <v>249</v>
      </c>
      <c r="G43">
        <v>5</v>
      </c>
      <c r="H43" s="8" t="s">
        <v>3869</v>
      </c>
      <c r="I43" s="8" t="s">
        <v>342</v>
      </c>
      <c r="J43" s="8"/>
      <c r="K43" s="8" t="s">
        <v>343</v>
      </c>
      <c r="L43" t="s">
        <v>344</v>
      </c>
      <c r="M43" t="s">
        <v>345</v>
      </c>
    </row>
    <row r="44" spans="1:17" x14ac:dyDescent="0.25">
      <c r="A44">
        <v>311</v>
      </c>
      <c r="B44" t="s">
        <v>11</v>
      </c>
      <c r="C44" t="s">
        <v>341</v>
      </c>
      <c r="D44" t="s">
        <v>219</v>
      </c>
      <c r="E44">
        <v>1343</v>
      </c>
      <c r="F44" t="s">
        <v>249</v>
      </c>
      <c r="G44">
        <v>5</v>
      </c>
      <c r="H44" s="8" t="s">
        <v>206</v>
      </c>
      <c r="I44" s="8"/>
      <c r="Q44" t="s">
        <v>365</v>
      </c>
    </row>
    <row r="45" spans="1:17" x14ac:dyDescent="0.25">
      <c r="A45">
        <v>321</v>
      </c>
      <c r="B45" t="s">
        <v>357</v>
      </c>
      <c r="C45" t="s">
        <v>341</v>
      </c>
      <c r="D45" t="s">
        <v>220</v>
      </c>
      <c r="E45">
        <v>1343</v>
      </c>
      <c r="F45" t="s">
        <v>249</v>
      </c>
      <c r="G45">
        <v>5</v>
      </c>
      <c r="H45" s="8" t="s">
        <v>417</v>
      </c>
      <c r="I45" s="8" t="s">
        <v>3928</v>
      </c>
      <c r="K45" s="8" t="s">
        <v>360</v>
      </c>
      <c r="L45" s="8" t="s">
        <v>361</v>
      </c>
    </row>
    <row r="46" spans="1:17" x14ac:dyDescent="0.25">
      <c r="A46">
        <v>321</v>
      </c>
      <c r="B46" t="s">
        <v>357</v>
      </c>
      <c r="C46" t="s">
        <v>341</v>
      </c>
      <c r="D46" t="s">
        <v>220</v>
      </c>
      <c r="E46">
        <v>1343</v>
      </c>
      <c r="F46" t="s">
        <v>249</v>
      </c>
      <c r="G46">
        <v>5</v>
      </c>
      <c r="H46" s="8" t="s">
        <v>3138</v>
      </c>
      <c r="I46" s="8" t="s">
        <v>3942</v>
      </c>
      <c r="J46" s="8" t="s">
        <v>366</v>
      </c>
      <c r="Q46" t="s">
        <v>367</v>
      </c>
    </row>
    <row r="47" spans="1:17" x14ac:dyDescent="0.25">
      <c r="A47">
        <v>321</v>
      </c>
      <c r="B47" t="s">
        <v>357</v>
      </c>
      <c r="C47" t="s">
        <v>341</v>
      </c>
      <c r="D47" t="s">
        <v>220</v>
      </c>
      <c r="E47">
        <v>1343</v>
      </c>
      <c r="F47" t="s">
        <v>249</v>
      </c>
      <c r="G47">
        <v>5</v>
      </c>
      <c r="H47" s="8" t="s">
        <v>3867</v>
      </c>
      <c r="I47" s="8" t="s">
        <v>715</v>
      </c>
    </row>
    <row r="48" spans="1:17" x14ac:dyDescent="0.25">
      <c r="A48">
        <v>321</v>
      </c>
      <c r="B48" t="s">
        <v>357</v>
      </c>
      <c r="C48" t="s">
        <v>341</v>
      </c>
      <c r="D48" t="s">
        <v>220</v>
      </c>
      <c r="E48">
        <v>1343</v>
      </c>
      <c r="F48" t="s">
        <v>249</v>
      </c>
      <c r="G48">
        <v>5</v>
      </c>
      <c r="H48" s="8" t="s">
        <v>3868</v>
      </c>
      <c r="I48" s="8" t="s">
        <v>715</v>
      </c>
    </row>
    <row r="49" spans="1:17" x14ac:dyDescent="0.25">
      <c r="A49">
        <v>321</v>
      </c>
      <c r="B49" t="s">
        <v>357</v>
      </c>
      <c r="C49" t="s">
        <v>341</v>
      </c>
      <c r="D49" t="s">
        <v>220</v>
      </c>
      <c r="E49">
        <v>1343</v>
      </c>
      <c r="F49" t="s">
        <v>249</v>
      </c>
      <c r="G49">
        <v>5</v>
      </c>
      <c r="H49" s="8" t="s">
        <v>206</v>
      </c>
      <c r="I49" s="8"/>
      <c r="Q49" t="s">
        <v>364</v>
      </c>
    </row>
    <row r="50" spans="1:17" x14ac:dyDescent="0.25">
      <c r="A50">
        <v>331</v>
      </c>
      <c r="B50" t="s">
        <v>375</v>
      </c>
      <c r="C50" t="s">
        <v>105</v>
      </c>
      <c r="D50" t="s">
        <v>219</v>
      </c>
      <c r="E50">
        <v>1343</v>
      </c>
      <c r="F50" t="s">
        <v>249</v>
      </c>
      <c r="G50">
        <v>5</v>
      </c>
      <c r="H50" s="8" t="s">
        <v>721</v>
      </c>
      <c r="I50" s="8" t="s">
        <v>709</v>
      </c>
    </row>
    <row r="51" spans="1:17" x14ac:dyDescent="0.25">
      <c r="A51">
        <v>331</v>
      </c>
      <c r="B51" t="s">
        <v>375</v>
      </c>
      <c r="C51" t="s">
        <v>105</v>
      </c>
      <c r="D51" t="s">
        <v>219</v>
      </c>
      <c r="E51">
        <v>1343</v>
      </c>
      <c r="F51" t="s">
        <v>249</v>
      </c>
      <c r="G51">
        <v>5</v>
      </c>
      <c r="H51" s="8" t="s">
        <v>711</v>
      </c>
      <c r="I51" s="8" t="s">
        <v>710</v>
      </c>
    </row>
    <row r="52" spans="1:17" x14ac:dyDescent="0.25">
      <c r="A52">
        <v>331</v>
      </c>
      <c r="B52" t="s">
        <v>375</v>
      </c>
      <c r="C52" t="s">
        <v>105</v>
      </c>
      <c r="D52" t="s">
        <v>219</v>
      </c>
      <c r="E52">
        <v>1343</v>
      </c>
      <c r="F52" t="s">
        <v>249</v>
      </c>
      <c r="G52">
        <v>5</v>
      </c>
      <c r="H52" s="8" t="s">
        <v>711</v>
      </c>
      <c r="I52" s="8" t="s">
        <v>712</v>
      </c>
    </row>
    <row r="53" spans="1:17" x14ac:dyDescent="0.25">
      <c r="A53">
        <v>331</v>
      </c>
      <c r="B53" t="s">
        <v>375</v>
      </c>
      <c r="C53" t="s">
        <v>105</v>
      </c>
      <c r="D53" t="s">
        <v>219</v>
      </c>
      <c r="E53">
        <v>1343</v>
      </c>
      <c r="F53" t="s">
        <v>249</v>
      </c>
      <c r="G53">
        <v>5</v>
      </c>
      <c r="H53" s="8" t="s">
        <v>3871</v>
      </c>
      <c r="I53" s="8"/>
      <c r="J53" s="8" t="s">
        <v>376</v>
      </c>
      <c r="K53" s="8" t="s">
        <v>379</v>
      </c>
      <c r="L53" s="8" t="s">
        <v>380</v>
      </c>
    </row>
    <row r="54" spans="1:17" x14ac:dyDescent="0.25">
      <c r="A54">
        <v>331</v>
      </c>
      <c r="B54" t="s">
        <v>375</v>
      </c>
      <c r="C54" t="s">
        <v>105</v>
      </c>
      <c r="D54" t="s">
        <v>219</v>
      </c>
      <c r="E54">
        <v>1343</v>
      </c>
      <c r="F54" t="s">
        <v>249</v>
      </c>
      <c r="G54">
        <v>5</v>
      </c>
      <c r="H54" s="8" t="s">
        <v>1153</v>
      </c>
      <c r="I54" s="8"/>
      <c r="J54" s="8" t="s">
        <v>376</v>
      </c>
      <c r="K54" s="8" t="s">
        <v>379</v>
      </c>
      <c r="L54" s="8" t="s">
        <v>380</v>
      </c>
    </row>
    <row r="55" spans="1:17" x14ac:dyDescent="0.25">
      <c r="A55">
        <v>341</v>
      </c>
      <c r="B55" t="s">
        <v>104</v>
      </c>
      <c r="C55" t="s">
        <v>105</v>
      </c>
      <c r="D55" t="s">
        <v>219</v>
      </c>
      <c r="E55">
        <v>1343</v>
      </c>
      <c r="F55" t="s">
        <v>249</v>
      </c>
      <c r="G55">
        <v>6</v>
      </c>
      <c r="H55" s="8" t="s">
        <v>389</v>
      </c>
      <c r="I55" s="8"/>
      <c r="J55" s="8" t="s">
        <v>390</v>
      </c>
    </row>
    <row r="56" spans="1:17" x14ac:dyDescent="0.25">
      <c r="A56">
        <v>341</v>
      </c>
      <c r="B56" t="s">
        <v>104</v>
      </c>
      <c r="C56" t="s">
        <v>105</v>
      </c>
      <c r="D56" t="s">
        <v>219</v>
      </c>
      <c r="E56">
        <v>1343</v>
      </c>
      <c r="F56" t="s">
        <v>249</v>
      </c>
      <c r="G56">
        <v>6</v>
      </c>
      <c r="H56" s="8" t="s">
        <v>3871</v>
      </c>
      <c r="I56" s="8"/>
      <c r="J56" s="8" t="s">
        <v>391</v>
      </c>
      <c r="K56" s="8" t="s">
        <v>392</v>
      </c>
      <c r="L56" s="8" t="s">
        <v>393</v>
      </c>
    </row>
    <row r="57" spans="1:17" x14ac:dyDescent="0.25">
      <c r="A57">
        <v>351</v>
      </c>
      <c r="B57" t="s">
        <v>104</v>
      </c>
      <c r="C57" t="s">
        <v>396</v>
      </c>
      <c r="D57" t="s">
        <v>219</v>
      </c>
      <c r="E57">
        <v>1343</v>
      </c>
      <c r="F57" t="s">
        <v>249</v>
      </c>
      <c r="G57">
        <v>8</v>
      </c>
      <c r="H57" s="8" t="s">
        <v>398</v>
      </c>
      <c r="I57" s="8"/>
      <c r="J57" s="8" t="s">
        <v>399</v>
      </c>
      <c r="K57" s="8" t="s">
        <v>400</v>
      </c>
      <c r="L57" s="8" t="s">
        <v>401</v>
      </c>
    </row>
    <row r="58" spans="1:17" x14ac:dyDescent="0.25">
      <c r="A58">
        <v>361</v>
      </c>
      <c r="B58" t="s">
        <v>407</v>
      </c>
      <c r="C58" t="s">
        <v>396</v>
      </c>
      <c r="D58" t="s">
        <v>219</v>
      </c>
      <c r="E58">
        <v>1343</v>
      </c>
      <c r="F58" t="s">
        <v>249</v>
      </c>
      <c r="G58">
        <v>9</v>
      </c>
      <c r="H58" s="8" t="s">
        <v>398</v>
      </c>
      <c r="I58" s="8"/>
      <c r="J58" s="8" t="s">
        <v>408</v>
      </c>
      <c r="K58" s="8" t="s">
        <v>409</v>
      </c>
      <c r="L58" s="8" t="s">
        <v>410</v>
      </c>
      <c r="M58" s="8" t="s">
        <v>411</v>
      </c>
      <c r="N58" s="8" t="s">
        <v>413</v>
      </c>
      <c r="O58" s="8"/>
      <c r="P58" s="8"/>
    </row>
    <row r="59" spans="1:17" x14ac:dyDescent="0.25">
      <c r="A59">
        <v>362</v>
      </c>
      <c r="B59" t="s">
        <v>416</v>
      </c>
      <c r="C59" t="s">
        <v>396</v>
      </c>
      <c r="D59" t="s">
        <v>219</v>
      </c>
      <c r="E59">
        <v>1343</v>
      </c>
      <c r="F59" t="s">
        <v>249</v>
      </c>
      <c r="G59">
        <v>9</v>
      </c>
      <c r="H59" s="8" t="s">
        <v>417</v>
      </c>
      <c r="I59" s="8"/>
      <c r="J59" s="8" t="s">
        <v>418</v>
      </c>
      <c r="K59" s="8" t="s">
        <v>419</v>
      </c>
      <c r="L59" s="8" t="s">
        <v>420</v>
      </c>
    </row>
    <row r="60" spans="1:17" x14ac:dyDescent="0.25">
      <c r="A60">
        <v>362</v>
      </c>
      <c r="B60" t="s">
        <v>416</v>
      </c>
      <c r="C60" t="s">
        <v>396</v>
      </c>
      <c r="D60" t="s">
        <v>219</v>
      </c>
      <c r="E60">
        <v>1343</v>
      </c>
      <c r="F60" t="s">
        <v>249</v>
      </c>
      <c r="G60">
        <v>9</v>
      </c>
      <c r="H60" s="8" t="s">
        <v>398</v>
      </c>
      <c r="I60" s="8"/>
      <c r="J60" s="8" t="s">
        <v>421</v>
      </c>
      <c r="K60" s="8" t="s">
        <v>3939</v>
      </c>
      <c r="L60" s="8" t="s">
        <v>422</v>
      </c>
      <c r="M60" s="8" t="s">
        <v>423</v>
      </c>
    </row>
    <row r="61" spans="1:17" x14ac:dyDescent="0.25">
      <c r="A61">
        <v>362</v>
      </c>
      <c r="B61" t="s">
        <v>416</v>
      </c>
      <c r="C61" t="s">
        <v>396</v>
      </c>
      <c r="D61" t="s">
        <v>219</v>
      </c>
      <c r="E61">
        <v>1343</v>
      </c>
      <c r="F61" t="s">
        <v>249</v>
      </c>
      <c r="G61">
        <v>9</v>
      </c>
      <c r="H61" s="8" t="s">
        <v>398</v>
      </c>
      <c r="I61" s="8"/>
      <c r="J61" s="8" t="s">
        <v>426</v>
      </c>
      <c r="K61" s="8" t="s">
        <v>427</v>
      </c>
      <c r="L61" s="8" t="s">
        <v>428</v>
      </c>
    </row>
    <row r="62" spans="1:17" x14ac:dyDescent="0.25">
      <c r="A62">
        <v>371</v>
      </c>
      <c r="B62" t="s">
        <v>13</v>
      </c>
      <c r="C62" t="s">
        <v>434</v>
      </c>
      <c r="D62" t="s">
        <v>219</v>
      </c>
      <c r="E62">
        <v>1360</v>
      </c>
      <c r="F62" t="s">
        <v>431</v>
      </c>
      <c r="H62" s="8" t="s">
        <v>488</v>
      </c>
      <c r="I62" s="8"/>
      <c r="J62" s="8" t="s">
        <v>436</v>
      </c>
      <c r="K62" s="8" t="s">
        <v>437</v>
      </c>
      <c r="L62" s="8" t="s">
        <v>438</v>
      </c>
      <c r="M62" s="8" t="s">
        <v>439</v>
      </c>
      <c r="N62" s="8" t="s">
        <v>440</v>
      </c>
      <c r="O62" s="8"/>
      <c r="P62" s="8"/>
    </row>
    <row r="63" spans="1:17" x14ac:dyDescent="0.25">
      <c r="A63">
        <v>371</v>
      </c>
      <c r="B63" t="s">
        <v>13</v>
      </c>
      <c r="C63" t="s">
        <v>434</v>
      </c>
      <c r="D63" t="s">
        <v>219</v>
      </c>
      <c r="E63">
        <v>1360</v>
      </c>
      <c r="F63" t="s">
        <v>431</v>
      </c>
      <c r="H63" s="8" t="s">
        <v>3872</v>
      </c>
      <c r="I63" s="8"/>
      <c r="J63" s="8" t="s">
        <v>436</v>
      </c>
      <c r="K63" s="8" t="s">
        <v>437</v>
      </c>
      <c r="L63" s="8" t="s">
        <v>438</v>
      </c>
      <c r="M63" s="8" t="s">
        <v>439</v>
      </c>
      <c r="N63" s="8" t="s">
        <v>440</v>
      </c>
      <c r="O63" s="8"/>
      <c r="P63" s="8"/>
    </row>
    <row r="64" spans="1:17" x14ac:dyDescent="0.25">
      <c r="A64">
        <v>422</v>
      </c>
      <c r="B64" t="s">
        <v>39</v>
      </c>
      <c r="C64" t="s">
        <v>446</v>
      </c>
      <c r="D64" t="s">
        <v>219</v>
      </c>
      <c r="E64">
        <v>1343</v>
      </c>
      <c r="F64" t="s">
        <v>198</v>
      </c>
      <c r="G64">
        <v>29</v>
      </c>
      <c r="H64" s="8" t="s">
        <v>714</v>
      </c>
      <c r="I64" s="8" t="s">
        <v>713</v>
      </c>
      <c r="K64" s="8" t="s">
        <v>453</v>
      </c>
      <c r="L64" s="8" t="s">
        <v>454</v>
      </c>
      <c r="M64" s="8" t="s">
        <v>455</v>
      </c>
    </row>
    <row r="65" spans="1:17" x14ac:dyDescent="0.25">
      <c r="A65">
        <v>422</v>
      </c>
      <c r="B65" t="s">
        <v>39</v>
      </c>
      <c r="C65" t="s">
        <v>446</v>
      </c>
      <c r="D65" t="s">
        <v>219</v>
      </c>
      <c r="E65">
        <v>1343</v>
      </c>
      <c r="F65" t="s">
        <v>198</v>
      </c>
      <c r="G65">
        <v>29</v>
      </c>
      <c r="H65" s="8" t="s">
        <v>3871</v>
      </c>
      <c r="I65" s="8"/>
      <c r="J65" s="8" t="s">
        <v>450</v>
      </c>
      <c r="K65" s="8" t="s">
        <v>451</v>
      </c>
      <c r="L65" s="8" t="s">
        <v>452</v>
      </c>
    </row>
    <row r="66" spans="1:17" x14ac:dyDescent="0.25">
      <c r="A66">
        <v>422</v>
      </c>
      <c r="B66" t="s">
        <v>39</v>
      </c>
      <c r="C66" t="s">
        <v>446</v>
      </c>
      <c r="D66" t="s">
        <v>219</v>
      </c>
      <c r="E66">
        <v>1343</v>
      </c>
      <c r="F66" t="s">
        <v>198</v>
      </c>
      <c r="G66">
        <v>29</v>
      </c>
      <c r="H66" s="8" t="s">
        <v>540</v>
      </c>
      <c r="I66" s="8"/>
      <c r="J66" s="8" t="s">
        <v>448</v>
      </c>
    </row>
    <row r="67" spans="1:17" x14ac:dyDescent="0.25">
      <c r="A67">
        <v>441</v>
      </c>
      <c r="B67" t="s">
        <v>465</v>
      </c>
      <c r="C67" t="s">
        <v>111</v>
      </c>
      <c r="D67" t="s">
        <v>219</v>
      </c>
      <c r="E67">
        <v>1343</v>
      </c>
      <c r="F67" t="s">
        <v>249</v>
      </c>
      <c r="G67">
        <v>2</v>
      </c>
      <c r="H67" s="8" t="s">
        <v>725</v>
      </c>
      <c r="I67" s="8" t="s">
        <v>713</v>
      </c>
      <c r="Q67" t="s">
        <v>490</v>
      </c>
    </row>
    <row r="68" spans="1:17" x14ac:dyDescent="0.25">
      <c r="A68">
        <v>441</v>
      </c>
      <c r="B68" t="s">
        <v>465</v>
      </c>
      <c r="C68" t="s">
        <v>111</v>
      </c>
      <c r="D68" t="s">
        <v>219</v>
      </c>
      <c r="E68">
        <v>1343</v>
      </c>
      <c r="F68" t="s">
        <v>249</v>
      </c>
      <c r="G68">
        <v>2</v>
      </c>
      <c r="H68" s="8" t="s">
        <v>206</v>
      </c>
      <c r="I68" s="8"/>
      <c r="J68" s="8" t="s">
        <v>478</v>
      </c>
      <c r="K68" s="8" t="s">
        <v>477</v>
      </c>
      <c r="L68" s="8" t="s">
        <v>479</v>
      </c>
      <c r="M68" s="8" t="s">
        <v>480</v>
      </c>
      <c r="N68" s="6" t="s">
        <v>2756</v>
      </c>
      <c r="O68" s="8"/>
      <c r="P68" s="8"/>
    </row>
    <row r="69" spans="1:17" x14ac:dyDescent="0.25">
      <c r="A69">
        <v>441</v>
      </c>
      <c r="B69" t="s">
        <v>465</v>
      </c>
      <c r="C69" t="s">
        <v>111</v>
      </c>
      <c r="D69" t="s">
        <v>219</v>
      </c>
      <c r="E69">
        <v>1343</v>
      </c>
      <c r="F69" t="s">
        <v>249</v>
      </c>
      <c r="G69">
        <v>2</v>
      </c>
      <c r="H69" s="8" t="s">
        <v>468</v>
      </c>
      <c r="I69" s="8"/>
      <c r="J69" s="8" t="s">
        <v>471</v>
      </c>
    </row>
    <row r="70" spans="1:17" x14ac:dyDescent="0.25">
      <c r="A70">
        <v>441</v>
      </c>
      <c r="B70" t="s">
        <v>465</v>
      </c>
      <c r="C70" t="s">
        <v>111</v>
      </c>
      <c r="D70" t="s">
        <v>219</v>
      </c>
      <c r="E70">
        <v>1343</v>
      </c>
      <c r="F70" t="s">
        <v>249</v>
      </c>
      <c r="G70">
        <v>2</v>
      </c>
      <c r="H70" s="8" t="s">
        <v>469</v>
      </c>
      <c r="I70" s="8"/>
      <c r="J70" s="8" t="s">
        <v>470</v>
      </c>
    </row>
    <row r="71" spans="1:17" x14ac:dyDescent="0.25">
      <c r="A71">
        <v>441</v>
      </c>
      <c r="B71" t="s">
        <v>465</v>
      </c>
      <c r="C71" t="s">
        <v>111</v>
      </c>
      <c r="D71" t="s">
        <v>219</v>
      </c>
      <c r="E71">
        <v>1343</v>
      </c>
      <c r="F71" t="s">
        <v>249</v>
      </c>
      <c r="G71">
        <v>2</v>
      </c>
      <c r="H71" s="8" t="s">
        <v>472</v>
      </c>
      <c r="I71" s="8"/>
      <c r="J71" s="8" t="s">
        <v>476</v>
      </c>
      <c r="K71" s="8" t="s">
        <v>475</v>
      </c>
      <c r="L71" s="8" t="s">
        <v>473</v>
      </c>
      <c r="M71" s="8" t="s">
        <v>474</v>
      </c>
    </row>
    <row r="72" spans="1:17" x14ac:dyDescent="0.25">
      <c r="A72">
        <v>451</v>
      </c>
      <c r="B72" t="s">
        <v>23</v>
      </c>
      <c r="C72" t="s">
        <v>549</v>
      </c>
      <c r="D72" t="s">
        <v>219</v>
      </c>
      <c r="E72">
        <v>1343</v>
      </c>
      <c r="F72" t="s">
        <v>249</v>
      </c>
      <c r="G72">
        <v>9</v>
      </c>
      <c r="H72" s="8" t="s">
        <v>468</v>
      </c>
      <c r="I72" s="8"/>
      <c r="J72" s="8" t="s">
        <v>493</v>
      </c>
    </row>
    <row r="73" spans="1:17" x14ac:dyDescent="0.25">
      <c r="A73">
        <v>451</v>
      </c>
      <c r="B73" t="s">
        <v>23</v>
      </c>
      <c r="C73" t="s">
        <v>549</v>
      </c>
      <c r="D73" t="s">
        <v>219</v>
      </c>
      <c r="E73">
        <v>1343</v>
      </c>
      <c r="F73" t="s">
        <v>249</v>
      </c>
      <c r="G73">
        <v>9</v>
      </c>
      <c r="H73" s="8" t="s">
        <v>833</v>
      </c>
      <c r="J73" s="8" t="s">
        <v>495</v>
      </c>
      <c r="K73" t="s">
        <v>3934</v>
      </c>
      <c r="L73" t="s">
        <v>496</v>
      </c>
      <c r="M73" t="s">
        <v>497</v>
      </c>
      <c r="N73" t="s">
        <v>498</v>
      </c>
      <c r="O73" t="s">
        <v>500</v>
      </c>
    </row>
    <row r="74" spans="1:17" x14ac:dyDescent="0.25">
      <c r="A74">
        <v>461</v>
      </c>
      <c r="B74" t="s">
        <v>250</v>
      </c>
      <c r="C74" t="s">
        <v>549</v>
      </c>
      <c r="D74" t="s">
        <v>219</v>
      </c>
      <c r="E74">
        <v>1343</v>
      </c>
      <c r="F74" t="s">
        <v>249</v>
      </c>
      <c r="G74">
        <v>9</v>
      </c>
      <c r="H74" t="s">
        <v>389</v>
      </c>
      <c r="J74" s="8" t="s">
        <v>503</v>
      </c>
    </row>
    <row r="75" spans="1:17" x14ac:dyDescent="0.25">
      <c r="A75">
        <v>461</v>
      </c>
      <c r="B75" t="s">
        <v>250</v>
      </c>
      <c r="C75" t="s">
        <v>549</v>
      </c>
      <c r="D75" t="s">
        <v>219</v>
      </c>
      <c r="E75">
        <v>1343</v>
      </c>
      <c r="F75" t="s">
        <v>249</v>
      </c>
      <c r="G75">
        <v>9</v>
      </c>
      <c r="H75" t="s">
        <v>468</v>
      </c>
      <c r="J75" s="8" t="s">
        <v>503</v>
      </c>
    </row>
    <row r="76" spans="1:17" x14ac:dyDescent="0.25">
      <c r="A76">
        <v>481</v>
      </c>
      <c r="B76" t="s">
        <v>39</v>
      </c>
      <c r="C76" t="s">
        <v>549</v>
      </c>
      <c r="D76" t="s">
        <v>219</v>
      </c>
      <c r="E76">
        <v>1343</v>
      </c>
      <c r="F76" t="s">
        <v>249</v>
      </c>
      <c r="G76">
        <v>10</v>
      </c>
      <c r="H76" t="s">
        <v>717</v>
      </c>
      <c r="I76" t="s">
        <v>716</v>
      </c>
      <c r="J76" s="8" t="s">
        <v>514</v>
      </c>
      <c r="K76" s="8" t="s">
        <v>517</v>
      </c>
      <c r="L76" s="8" t="s">
        <v>518</v>
      </c>
      <c r="M76" s="8" t="s">
        <v>519</v>
      </c>
    </row>
    <row r="77" spans="1:17" x14ac:dyDescent="0.25">
      <c r="A77">
        <v>491</v>
      </c>
      <c r="B77" t="s">
        <v>91</v>
      </c>
      <c r="C77" t="s">
        <v>58</v>
      </c>
      <c r="D77" t="s">
        <v>219</v>
      </c>
      <c r="E77">
        <v>1343</v>
      </c>
      <c r="F77" t="s">
        <v>249</v>
      </c>
      <c r="G77">
        <v>9</v>
      </c>
      <c r="H77" t="s">
        <v>679</v>
      </c>
      <c r="I77" t="s">
        <v>718</v>
      </c>
    </row>
    <row r="78" spans="1:17" x14ac:dyDescent="0.25">
      <c r="A78">
        <v>491</v>
      </c>
      <c r="B78" t="s">
        <v>91</v>
      </c>
      <c r="C78" t="s">
        <v>58</v>
      </c>
      <c r="D78" t="s">
        <v>219</v>
      </c>
      <c r="E78">
        <v>1343</v>
      </c>
      <c r="F78" t="s">
        <v>249</v>
      </c>
      <c r="G78">
        <v>9</v>
      </c>
      <c r="H78" t="s">
        <v>389</v>
      </c>
      <c r="J78" s="8" t="s">
        <v>532</v>
      </c>
    </row>
    <row r="79" spans="1:17" x14ac:dyDescent="0.25">
      <c r="A79">
        <v>491</v>
      </c>
      <c r="B79" t="s">
        <v>91</v>
      </c>
      <c r="C79" t="s">
        <v>58</v>
      </c>
      <c r="D79" t="s">
        <v>219</v>
      </c>
      <c r="E79">
        <v>1343</v>
      </c>
      <c r="F79" t="s">
        <v>249</v>
      </c>
      <c r="G79">
        <v>9</v>
      </c>
      <c r="H79" t="s">
        <v>833</v>
      </c>
      <c r="J79" s="8" t="s">
        <v>537</v>
      </c>
      <c r="K79" s="8" t="s">
        <v>533</v>
      </c>
      <c r="L79" s="8" t="s">
        <v>534</v>
      </c>
      <c r="M79" s="8" t="s">
        <v>535</v>
      </c>
      <c r="Q79" t="s">
        <v>545</v>
      </c>
    </row>
    <row r="80" spans="1:17" x14ac:dyDescent="0.25">
      <c r="A80">
        <v>501</v>
      </c>
      <c r="B80" t="s">
        <v>13</v>
      </c>
      <c r="C80" t="s">
        <v>58</v>
      </c>
      <c r="D80" t="s">
        <v>219</v>
      </c>
      <c r="E80">
        <v>1343</v>
      </c>
      <c r="F80" t="s">
        <v>249</v>
      </c>
      <c r="G80">
        <v>9</v>
      </c>
      <c r="H80" t="s">
        <v>645</v>
      </c>
      <c r="I80" t="s">
        <v>720</v>
      </c>
      <c r="Q80" t="s">
        <v>546</v>
      </c>
    </row>
    <row r="81" spans="1:15" x14ac:dyDescent="0.25">
      <c r="A81">
        <v>501</v>
      </c>
      <c r="B81" t="s">
        <v>13</v>
      </c>
      <c r="C81" t="s">
        <v>58</v>
      </c>
      <c r="D81" t="s">
        <v>219</v>
      </c>
      <c r="E81">
        <v>1343</v>
      </c>
      <c r="F81" t="s">
        <v>249</v>
      </c>
      <c r="G81">
        <v>9</v>
      </c>
      <c r="H81" t="s">
        <v>540</v>
      </c>
      <c r="J81" t="s">
        <v>58</v>
      </c>
    </row>
    <row r="82" spans="1:15" x14ac:dyDescent="0.25">
      <c r="A82">
        <v>501</v>
      </c>
      <c r="B82" t="s">
        <v>13</v>
      </c>
      <c r="C82" t="s">
        <v>58</v>
      </c>
      <c r="D82" t="s">
        <v>219</v>
      </c>
      <c r="E82">
        <v>1343</v>
      </c>
      <c r="F82" t="s">
        <v>249</v>
      </c>
      <c r="G82">
        <v>9</v>
      </c>
      <c r="H82" t="s">
        <v>398</v>
      </c>
      <c r="K82" t="s">
        <v>544</v>
      </c>
    </row>
    <row r="83" spans="1:15" x14ac:dyDescent="0.25">
      <c r="A83">
        <v>511</v>
      </c>
      <c r="B83" t="s">
        <v>250</v>
      </c>
      <c r="C83" t="s">
        <v>549</v>
      </c>
      <c r="D83" t="s">
        <v>219</v>
      </c>
      <c r="E83">
        <v>1343</v>
      </c>
      <c r="F83" t="s">
        <v>249</v>
      </c>
      <c r="G83">
        <v>11</v>
      </c>
      <c r="H83" t="s">
        <v>833</v>
      </c>
      <c r="J83" t="s">
        <v>552</v>
      </c>
      <c r="K83" t="s">
        <v>514</v>
      </c>
      <c r="L83" t="s">
        <v>553</v>
      </c>
      <c r="M83" t="s">
        <v>554</v>
      </c>
      <c r="N83" t="s">
        <v>555</v>
      </c>
    </row>
    <row r="84" spans="1:15" x14ac:dyDescent="0.25">
      <c r="A84">
        <v>521</v>
      </c>
      <c r="B84" t="s">
        <v>67</v>
      </c>
      <c r="C84" t="s">
        <v>549</v>
      </c>
      <c r="D84" t="s">
        <v>219</v>
      </c>
      <c r="E84">
        <v>1343</v>
      </c>
      <c r="F84" t="s">
        <v>249</v>
      </c>
      <c r="G84">
        <v>23</v>
      </c>
      <c r="H84" t="s">
        <v>540</v>
      </c>
      <c r="J84" t="s">
        <v>560</v>
      </c>
    </row>
    <row r="85" spans="1:15" x14ac:dyDescent="0.25">
      <c r="A85">
        <v>521</v>
      </c>
      <c r="B85" t="s">
        <v>67</v>
      </c>
      <c r="C85" t="s">
        <v>68</v>
      </c>
      <c r="D85" t="s">
        <v>219</v>
      </c>
      <c r="E85">
        <v>1343</v>
      </c>
      <c r="F85" t="s">
        <v>249</v>
      </c>
      <c r="G85">
        <v>23</v>
      </c>
      <c r="H85" t="s">
        <v>833</v>
      </c>
      <c r="J85" t="s">
        <v>562</v>
      </c>
      <c r="K85" t="s">
        <v>588</v>
      </c>
      <c r="L85" t="s">
        <v>584</v>
      </c>
      <c r="M85" t="s">
        <v>514</v>
      </c>
    </row>
    <row r="86" spans="1:15" x14ac:dyDescent="0.25">
      <c r="A86">
        <v>531</v>
      </c>
      <c r="B86" t="s">
        <v>567</v>
      </c>
      <c r="C86" t="s">
        <v>68</v>
      </c>
      <c r="D86" t="s">
        <v>219</v>
      </c>
      <c r="E86">
        <v>1343</v>
      </c>
      <c r="F86" t="s">
        <v>249</v>
      </c>
      <c r="G86">
        <v>23</v>
      </c>
      <c r="H86" t="s">
        <v>540</v>
      </c>
      <c r="J86" t="s">
        <v>570</v>
      </c>
    </row>
    <row r="87" spans="1:15" x14ac:dyDescent="0.25">
      <c r="A87">
        <v>541</v>
      </c>
      <c r="B87" t="s">
        <v>39</v>
      </c>
      <c r="C87" t="s">
        <v>68</v>
      </c>
      <c r="D87" t="s">
        <v>219</v>
      </c>
      <c r="E87">
        <v>1343</v>
      </c>
      <c r="F87" t="s">
        <v>249</v>
      </c>
      <c r="G87">
        <v>23</v>
      </c>
      <c r="H87" t="s">
        <v>540</v>
      </c>
      <c r="J87" t="s">
        <v>583</v>
      </c>
    </row>
    <row r="88" spans="1:15" x14ac:dyDescent="0.25">
      <c r="A88">
        <v>541</v>
      </c>
      <c r="B88" t="s">
        <v>39</v>
      </c>
      <c r="C88" t="s">
        <v>68</v>
      </c>
      <c r="D88" t="s">
        <v>219</v>
      </c>
      <c r="E88">
        <v>1343</v>
      </c>
      <c r="F88" t="s">
        <v>249</v>
      </c>
      <c r="G88">
        <v>23</v>
      </c>
      <c r="H88" t="s">
        <v>833</v>
      </c>
      <c r="J88" t="s">
        <v>585</v>
      </c>
      <c r="K88" t="s">
        <v>586</v>
      </c>
      <c r="L88" t="s">
        <v>534</v>
      </c>
      <c r="M88" t="s">
        <v>587</v>
      </c>
      <c r="N88" t="s">
        <v>588</v>
      </c>
    </row>
    <row r="89" spans="1:15" x14ac:dyDescent="0.25">
      <c r="A89">
        <v>551</v>
      </c>
      <c r="B89" t="s">
        <v>23</v>
      </c>
      <c r="C89" t="s">
        <v>68</v>
      </c>
      <c r="D89" t="s">
        <v>219</v>
      </c>
      <c r="E89">
        <v>1343</v>
      </c>
      <c r="F89" t="s">
        <v>249</v>
      </c>
      <c r="G89">
        <v>23</v>
      </c>
      <c r="H89" t="s">
        <v>540</v>
      </c>
      <c r="J89" t="s">
        <v>583</v>
      </c>
    </row>
    <row r="90" spans="1:15" x14ac:dyDescent="0.25">
      <c r="A90">
        <v>552</v>
      </c>
      <c r="B90" t="s">
        <v>315</v>
      </c>
      <c r="C90" t="s">
        <v>68</v>
      </c>
      <c r="D90" t="s">
        <v>219</v>
      </c>
      <c r="E90">
        <v>1343</v>
      </c>
      <c r="G90" s="9" t="s">
        <v>590</v>
      </c>
      <c r="H90" t="s">
        <v>540</v>
      </c>
      <c r="J90" t="s">
        <v>583</v>
      </c>
    </row>
    <row r="91" spans="1:15" x14ac:dyDescent="0.25">
      <c r="A91">
        <v>561</v>
      </c>
      <c r="B91" t="s">
        <v>13</v>
      </c>
      <c r="C91" t="s">
        <v>68</v>
      </c>
      <c r="D91" t="s">
        <v>219</v>
      </c>
      <c r="E91">
        <v>1343</v>
      </c>
      <c r="F91" t="s">
        <v>249</v>
      </c>
      <c r="G91">
        <v>23</v>
      </c>
      <c r="H91" t="s">
        <v>833</v>
      </c>
      <c r="J91" t="s">
        <v>571</v>
      </c>
      <c r="K91" t="s">
        <v>3851</v>
      </c>
      <c r="L91" t="s">
        <v>3852</v>
      </c>
      <c r="M91" t="s">
        <v>3853</v>
      </c>
      <c r="N91" t="s">
        <v>534</v>
      </c>
      <c r="O91" t="s">
        <v>3854</v>
      </c>
    </row>
    <row r="92" spans="1:15" x14ac:dyDescent="0.25">
      <c r="A92">
        <v>561</v>
      </c>
      <c r="B92" t="s">
        <v>13</v>
      </c>
      <c r="C92" t="s">
        <v>68</v>
      </c>
      <c r="D92" t="s">
        <v>219</v>
      </c>
      <c r="E92">
        <v>1343</v>
      </c>
      <c r="F92" t="s">
        <v>249</v>
      </c>
      <c r="G92">
        <v>23</v>
      </c>
      <c r="H92" t="s">
        <v>540</v>
      </c>
      <c r="J92" t="s">
        <v>583</v>
      </c>
    </row>
    <row r="93" spans="1:15" x14ac:dyDescent="0.25">
      <c r="A93">
        <v>561</v>
      </c>
      <c r="B93" t="s">
        <v>13</v>
      </c>
      <c r="C93" t="s">
        <v>68</v>
      </c>
      <c r="D93" t="s">
        <v>219</v>
      </c>
      <c r="E93">
        <v>1343</v>
      </c>
      <c r="F93" t="s">
        <v>249</v>
      </c>
      <c r="G93">
        <v>23</v>
      </c>
      <c r="H93" t="s">
        <v>1150</v>
      </c>
      <c r="J93" t="s">
        <v>583</v>
      </c>
    </row>
    <row r="94" spans="1:15" x14ac:dyDescent="0.25">
      <c r="A94">
        <v>571</v>
      </c>
      <c r="B94" t="s">
        <v>593</v>
      </c>
      <c r="C94" t="s">
        <v>68</v>
      </c>
      <c r="D94" t="s">
        <v>219</v>
      </c>
      <c r="E94">
        <v>1343</v>
      </c>
      <c r="F94" t="s">
        <v>249</v>
      </c>
      <c r="G94">
        <v>23</v>
      </c>
      <c r="H94" t="s">
        <v>540</v>
      </c>
      <c r="J94" t="s">
        <v>583</v>
      </c>
    </row>
    <row r="95" spans="1:15" x14ac:dyDescent="0.25">
      <c r="A95">
        <v>581</v>
      </c>
      <c r="B95" t="s">
        <v>67</v>
      </c>
      <c r="C95" t="s">
        <v>603</v>
      </c>
      <c r="D95" t="s">
        <v>219</v>
      </c>
      <c r="E95">
        <v>1343</v>
      </c>
      <c r="F95" t="s">
        <v>249</v>
      </c>
      <c r="G95">
        <v>29</v>
      </c>
      <c r="H95" t="s">
        <v>725</v>
      </c>
      <c r="I95" t="s">
        <v>734</v>
      </c>
      <c r="J95" t="s">
        <v>639</v>
      </c>
      <c r="K95" t="s">
        <v>640</v>
      </c>
    </row>
    <row r="96" spans="1:15" x14ac:dyDescent="0.25">
      <c r="A96">
        <v>581</v>
      </c>
      <c r="B96" t="s">
        <v>67</v>
      </c>
      <c r="C96" t="s">
        <v>603</v>
      </c>
      <c r="D96" t="s">
        <v>219</v>
      </c>
      <c r="E96">
        <v>1343</v>
      </c>
      <c r="F96" t="s">
        <v>249</v>
      </c>
      <c r="G96">
        <v>29</v>
      </c>
      <c r="H96" s="8" t="s">
        <v>417</v>
      </c>
      <c r="I96" t="s">
        <v>741</v>
      </c>
      <c r="J96" t="s">
        <v>661</v>
      </c>
      <c r="K96" t="s">
        <v>660</v>
      </c>
      <c r="L96" t="s">
        <v>662</v>
      </c>
    </row>
    <row r="97" spans="1:18" x14ac:dyDescent="0.25">
      <c r="A97">
        <v>581</v>
      </c>
      <c r="B97" t="s">
        <v>67</v>
      </c>
      <c r="C97" t="s">
        <v>603</v>
      </c>
      <c r="D97" t="s">
        <v>219</v>
      </c>
      <c r="E97">
        <v>1343</v>
      </c>
      <c r="F97" t="s">
        <v>249</v>
      </c>
      <c r="G97">
        <v>29</v>
      </c>
      <c r="H97" t="s">
        <v>721</v>
      </c>
      <c r="I97" t="s">
        <v>3946</v>
      </c>
      <c r="K97" t="s">
        <v>608</v>
      </c>
      <c r="L97" t="s">
        <v>609</v>
      </c>
    </row>
    <row r="98" spans="1:18" x14ac:dyDescent="0.25">
      <c r="A98">
        <v>581</v>
      </c>
      <c r="B98" t="s">
        <v>67</v>
      </c>
      <c r="C98" t="s">
        <v>603</v>
      </c>
      <c r="D98" t="s">
        <v>219</v>
      </c>
      <c r="E98">
        <v>1343</v>
      </c>
      <c r="F98" t="s">
        <v>249</v>
      </c>
      <c r="G98">
        <v>29</v>
      </c>
      <c r="H98" t="s">
        <v>725</v>
      </c>
      <c r="I98" t="s">
        <v>731</v>
      </c>
      <c r="J98" t="s">
        <v>635</v>
      </c>
      <c r="K98" t="s">
        <v>608</v>
      </c>
    </row>
    <row r="99" spans="1:18" x14ac:dyDescent="0.25">
      <c r="A99">
        <v>581</v>
      </c>
      <c r="B99" t="s">
        <v>67</v>
      </c>
      <c r="C99" t="s">
        <v>603</v>
      </c>
      <c r="D99" t="s">
        <v>219</v>
      </c>
      <c r="E99">
        <v>1343</v>
      </c>
      <c r="F99" t="s">
        <v>249</v>
      </c>
      <c r="G99">
        <v>29</v>
      </c>
      <c r="H99" t="s">
        <v>725</v>
      </c>
      <c r="I99" t="s">
        <v>729</v>
      </c>
      <c r="J99" t="s">
        <v>629</v>
      </c>
      <c r="K99" t="s">
        <v>1474</v>
      </c>
      <c r="L99" t="s">
        <v>630</v>
      </c>
    </row>
    <row r="100" spans="1:18" x14ac:dyDescent="0.25">
      <c r="A100">
        <v>581</v>
      </c>
      <c r="B100" t="s">
        <v>67</v>
      </c>
      <c r="C100" t="s">
        <v>603</v>
      </c>
      <c r="D100" t="s">
        <v>219</v>
      </c>
      <c r="E100">
        <v>1343</v>
      </c>
      <c r="F100" t="s">
        <v>249</v>
      </c>
      <c r="G100">
        <v>29</v>
      </c>
      <c r="H100" s="8" t="s">
        <v>417</v>
      </c>
      <c r="I100" t="s">
        <v>740</v>
      </c>
      <c r="K100" t="s">
        <v>657</v>
      </c>
    </row>
    <row r="101" spans="1:18" x14ac:dyDescent="0.25">
      <c r="A101">
        <v>581</v>
      </c>
      <c r="B101" t="s">
        <v>67</v>
      </c>
      <c r="C101" t="s">
        <v>603</v>
      </c>
      <c r="D101" t="s">
        <v>219</v>
      </c>
      <c r="E101">
        <v>1343</v>
      </c>
      <c r="F101" t="s">
        <v>249</v>
      </c>
      <c r="G101">
        <v>29</v>
      </c>
      <c r="H101" t="s">
        <v>488</v>
      </c>
      <c r="I101" t="s">
        <v>736</v>
      </c>
      <c r="K101" t="s">
        <v>649</v>
      </c>
      <c r="L101" s="15" t="s">
        <v>1477</v>
      </c>
    </row>
    <row r="102" spans="1:18" x14ac:dyDescent="0.25">
      <c r="A102">
        <v>581</v>
      </c>
      <c r="B102" t="s">
        <v>67</v>
      </c>
      <c r="C102" t="s">
        <v>603</v>
      </c>
      <c r="D102" t="s">
        <v>219</v>
      </c>
      <c r="E102">
        <v>1343</v>
      </c>
      <c r="F102" t="s">
        <v>249</v>
      </c>
      <c r="G102">
        <v>29</v>
      </c>
      <c r="H102" t="s">
        <v>645</v>
      </c>
      <c r="I102" t="s">
        <v>735</v>
      </c>
      <c r="J102" t="s">
        <v>641</v>
      </c>
      <c r="K102" t="s">
        <v>642</v>
      </c>
      <c r="L102" t="s">
        <v>643</v>
      </c>
      <c r="M102" t="s">
        <v>644</v>
      </c>
    </row>
    <row r="103" spans="1:18" x14ac:dyDescent="0.25">
      <c r="A103">
        <v>581</v>
      </c>
      <c r="B103" t="s">
        <v>67</v>
      </c>
      <c r="C103" t="s">
        <v>603</v>
      </c>
      <c r="D103" t="s">
        <v>219</v>
      </c>
      <c r="E103">
        <v>1343</v>
      </c>
      <c r="F103" t="s">
        <v>249</v>
      </c>
      <c r="G103">
        <v>29</v>
      </c>
      <c r="H103" t="s">
        <v>3269</v>
      </c>
      <c r="I103" t="s">
        <v>739</v>
      </c>
      <c r="J103" t="s">
        <v>655</v>
      </c>
      <c r="K103" t="s">
        <v>656</v>
      </c>
    </row>
    <row r="104" spans="1:18" x14ac:dyDescent="0.25">
      <c r="A104">
        <v>581</v>
      </c>
      <c r="B104" t="s">
        <v>67</v>
      </c>
      <c r="C104" t="s">
        <v>603</v>
      </c>
      <c r="D104" t="s">
        <v>219</v>
      </c>
      <c r="E104">
        <v>1343</v>
      </c>
      <c r="F104" t="s">
        <v>249</v>
      </c>
      <c r="G104">
        <v>29</v>
      </c>
      <c r="H104" t="s">
        <v>1683</v>
      </c>
      <c r="I104" t="s">
        <v>723</v>
      </c>
      <c r="Q104" t="s">
        <v>612</v>
      </c>
      <c r="R104" t="s">
        <v>15</v>
      </c>
    </row>
    <row r="105" spans="1:18" x14ac:dyDescent="0.25">
      <c r="A105">
        <v>581</v>
      </c>
      <c r="B105" t="s">
        <v>67</v>
      </c>
      <c r="C105" t="s">
        <v>603</v>
      </c>
      <c r="D105" t="s">
        <v>219</v>
      </c>
      <c r="E105">
        <v>1343</v>
      </c>
      <c r="F105" t="s">
        <v>249</v>
      </c>
      <c r="G105">
        <v>29</v>
      </c>
      <c r="H105" t="s">
        <v>632</v>
      </c>
      <c r="I105" t="s">
        <v>723</v>
      </c>
      <c r="Q105" t="s">
        <v>627</v>
      </c>
      <c r="R105" t="s">
        <v>15</v>
      </c>
    </row>
    <row r="106" spans="1:18" x14ac:dyDescent="0.25">
      <c r="A106">
        <v>581</v>
      </c>
      <c r="B106" t="s">
        <v>67</v>
      </c>
      <c r="C106" t="s">
        <v>603</v>
      </c>
      <c r="D106" t="s">
        <v>219</v>
      </c>
      <c r="E106">
        <v>1343</v>
      </c>
      <c r="F106" t="s">
        <v>249</v>
      </c>
      <c r="G106">
        <v>29</v>
      </c>
      <c r="H106" s="8" t="s">
        <v>398</v>
      </c>
      <c r="I106" t="s">
        <v>733</v>
      </c>
      <c r="Q106" t="s">
        <v>638</v>
      </c>
      <c r="R106" t="s">
        <v>15</v>
      </c>
    </row>
    <row r="107" spans="1:18" x14ac:dyDescent="0.25">
      <c r="A107">
        <v>581</v>
      </c>
      <c r="B107" t="s">
        <v>67</v>
      </c>
      <c r="C107" t="s">
        <v>603</v>
      </c>
      <c r="D107" t="s">
        <v>219</v>
      </c>
      <c r="E107">
        <v>1343</v>
      </c>
      <c r="F107" t="s">
        <v>249</v>
      </c>
      <c r="G107">
        <v>29</v>
      </c>
      <c r="H107" t="s">
        <v>725</v>
      </c>
      <c r="I107" t="s">
        <v>738</v>
      </c>
      <c r="J107" t="s">
        <v>694</v>
      </c>
      <c r="K107" t="s">
        <v>653</v>
      </c>
      <c r="L107" t="s">
        <v>654</v>
      </c>
    </row>
    <row r="108" spans="1:18" x14ac:dyDescent="0.25">
      <c r="A108">
        <v>581</v>
      </c>
      <c r="B108" t="s">
        <v>67</v>
      </c>
      <c r="C108" t="s">
        <v>603</v>
      </c>
      <c r="D108" t="s">
        <v>219</v>
      </c>
      <c r="E108">
        <v>1343</v>
      </c>
      <c r="F108" t="s">
        <v>249</v>
      </c>
      <c r="G108">
        <v>29</v>
      </c>
      <c r="H108" t="s">
        <v>645</v>
      </c>
      <c r="I108" t="s">
        <v>728</v>
      </c>
      <c r="K108" t="s">
        <v>608</v>
      </c>
      <c r="L108" t="s">
        <v>622</v>
      </c>
    </row>
    <row r="109" spans="1:18" x14ac:dyDescent="0.25">
      <c r="A109">
        <v>581</v>
      </c>
      <c r="B109" t="s">
        <v>67</v>
      </c>
      <c r="C109" t="s">
        <v>603</v>
      </c>
      <c r="D109" t="s">
        <v>219</v>
      </c>
      <c r="E109">
        <v>1343</v>
      </c>
      <c r="F109" t="s">
        <v>249</v>
      </c>
      <c r="G109">
        <v>29</v>
      </c>
      <c r="H109" s="8" t="s">
        <v>417</v>
      </c>
      <c r="I109" t="s">
        <v>730</v>
      </c>
      <c r="J109" t="s">
        <v>633</v>
      </c>
      <c r="K109" t="s">
        <v>634</v>
      </c>
    </row>
    <row r="110" spans="1:18" x14ac:dyDescent="0.25">
      <c r="A110">
        <v>581</v>
      </c>
      <c r="B110" t="s">
        <v>67</v>
      </c>
      <c r="C110" t="s">
        <v>603</v>
      </c>
      <c r="D110" t="s">
        <v>219</v>
      </c>
      <c r="E110">
        <v>1343</v>
      </c>
      <c r="F110" t="s">
        <v>249</v>
      </c>
      <c r="G110">
        <v>29</v>
      </c>
      <c r="H110" t="s">
        <v>721</v>
      </c>
      <c r="I110" t="s">
        <v>722</v>
      </c>
      <c r="J110" t="s">
        <v>610</v>
      </c>
      <c r="K110" t="s">
        <v>611</v>
      </c>
      <c r="L110" t="s">
        <v>625</v>
      </c>
    </row>
    <row r="111" spans="1:18" x14ac:dyDescent="0.25">
      <c r="A111">
        <v>581</v>
      </c>
      <c r="B111" t="s">
        <v>67</v>
      </c>
      <c r="C111" t="s">
        <v>603</v>
      </c>
      <c r="D111" t="s">
        <v>219</v>
      </c>
      <c r="E111">
        <v>1343</v>
      </c>
      <c r="F111" t="s">
        <v>249</v>
      </c>
      <c r="G111">
        <v>29</v>
      </c>
      <c r="H111" t="s">
        <v>725</v>
      </c>
      <c r="I111" t="s">
        <v>724</v>
      </c>
      <c r="K111" t="s">
        <v>613</v>
      </c>
      <c r="L111" t="s">
        <v>608</v>
      </c>
      <c r="M111" t="s">
        <v>614</v>
      </c>
    </row>
    <row r="112" spans="1:18" x14ac:dyDescent="0.25">
      <c r="A112">
        <v>581</v>
      </c>
      <c r="B112" t="s">
        <v>67</v>
      </c>
      <c r="C112" t="s">
        <v>603</v>
      </c>
      <c r="D112" t="s">
        <v>219</v>
      </c>
      <c r="E112">
        <v>1343</v>
      </c>
      <c r="F112" t="s">
        <v>249</v>
      </c>
      <c r="G112">
        <v>29</v>
      </c>
      <c r="H112" t="s">
        <v>206</v>
      </c>
      <c r="I112" t="s">
        <v>727</v>
      </c>
      <c r="K112" t="s">
        <v>617</v>
      </c>
      <c r="L112" t="s">
        <v>1473</v>
      </c>
    </row>
    <row r="113" spans="1:18" x14ac:dyDescent="0.25">
      <c r="A113">
        <v>581</v>
      </c>
      <c r="B113" t="s">
        <v>67</v>
      </c>
      <c r="C113" t="s">
        <v>603</v>
      </c>
      <c r="D113" t="s">
        <v>219</v>
      </c>
      <c r="E113">
        <v>1343</v>
      </c>
      <c r="F113" t="s">
        <v>249</v>
      </c>
      <c r="G113">
        <v>29</v>
      </c>
      <c r="H113" t="s">
        <v>227</v>
      </c>
      <c r="I113" t="s">
        <v>727</v>
      </c>
      <c r="K113" t="s">
        <v>617</v>
      </c>
      <c r="L113" t="s">
        <v>1473</v>
      </c>
    </row>
    <row r="114" spans="1:18" x14ac:dyDescent="0.25">
      <c r="A114">
        <v>581</v>
      </c>
      <c r="B114" t="s">
        <v>67</v>
      </c>
      <c r="C114" t="s">
        <v>603</v>
      </c>
      <c r="D114" t="s">
        <v>219</v>
      </c>
      <c r="E114">
        <v>1343</v>
      </c>
      <c r="F114" t="s">
        <v>249</v>
      </c>
      <c r="G114">
        <v>29</v>
      </c>
      <c r="H114" t="s">
        <v>206</v>
      </c>
      <c r="I114" t="s">
        <v>726</v>
      </c>
      <c r="K114" t="s">
        <v>615</v>
      </c>
      <c r="L114" t="s">
        <v>616</v>
      </c>
    </row>
    <row r="115" spans="1:18" x14ac:dyDescent="0.25">
      <c r="A115">
        <v>581</v>
      </c>
      <c r="B115" t="s">
        <v>67</v>
      </c>
      <c r="C115" t="s">
        <v>603</v>
      </c>
      <c r="D115" t="s">
        <v>219</v>
      </c>
      <c r="E115">
        <v>1343</v>
      </c>
      <c r="F115" t="s">
        <v>249</v>
      </c>
      <c r="G115">
        <v>29</v>
      </c>
      <c r="H115" s="8" t="s">
        <v>398</v>
      </c>
      <c r="I115" t="s">
        <v>732</v>
      </c>
      <c r="J115" t="s">
        <v>636</v>
      </c>
      <c r="K115" t="s">
        <v>637</v>
      </c>
    </row>
    <row r="116" spans="1:18" x14ac:dyDescent="0.25">
      <c r="A116">
        <v>581</v>
      </c>
      <c r="B116" t="s">
        <v>67</v>
      </c>
      <c r="C116" t="s">
        <v>603</v>
      </c>
      <c r="D116" t="s">
        <v>219</v>
      </c>
      <c r="E116">
        <v>1343</v>
      </c>
      <c r="F116" t="s">
        <v>249</v>
      </c>
      <c r="G116">
        <v>29</v>
      </c>
      <c r="H116" t="s">
        <v>1683</v>
      </c>
      <c r="I116" s="15" t="s">
        <v>2755</v>
      </c>
      <c r="Q116" t="s">
        <v>648</v>
      </c>
      <c r="R116" t="s">
        <v>463</v>
      </c>
    </row>
    <row r="117" spans="1:18" x14ac:dyDescent="0.25">
      <c r="A117">
        <v>581</v>
      </c>
      <c r="B117" t="s">
        <v>67</v>
      </c>
      <c r="C117" t="s">
        <v>603</v>
      </c>
      <c r="D117" t="s">
        <v>219</v>
      </c>
      <c r="E117">
        <v>1343</v>
      </c>
      <c r="F117" t="s">
        <v>249</v>
      </c>
      <c r="G117">
        <v>29</v>
      </c>
      <c r="H117" t="s">
        <v>488</v>
      </c>
      <c r="I117" t="s">
        <v>737</v>
      </c>
      <c r="J117" t="s">
        <v>650</v>
      </c>
      <c r="K117" t="s">
        <v>651</v>
      </c>
      <c r="L117" t="s">
        <v>652</v>
      </c>
    </row>
    <row r="118" spans="1:18" x14ac:dyDescent="0.25">
      <c r="A118">
        <v>581</v>
      </c>
      <c r="B118" t="s">
        <v>67</v>
      </c>
      <c r="C118" t="s">
        <v>603</v>
      </c>
      <c r="D118" t="s">
        <v>219</v>
      </c>
      <c r="E118">
        <v>1343</v>
      </c>
      <c r="F118" t="s">
        <v>249</v>
      </c>
      <c r="G118">
        <v>29</v>
      </c>
      <c r="H118" t="s">
        <v>488</v>
      </c>
      <c r="J118" t="s">
        <v>628</v>
      </c>
    </row>
    <row r="119" spans="1:18" x14ac:dyDescent="0.25">
      <c r="A119">
        <v>581</v>
      </c>
      <c r="B119" t="s">
        <v>67</v>
      </c>
      <c r="C119" t="s">
        <v>603</v>
      </c>
      <c r="D119" t="s">
        <v>219</v>
      </c>
      <c r="E119">
        <v>1343</v>
      </c>
      <c r="F119" t="s">
        <v>249</v>
      </c>
      <c r="G119">
        <v>29</v>
      </c>
      <c r="H119" t="s">
        <v>292</v>
      </c>
      <c r="J119" t="s">
        <v>618</v>
      </c>
    </row>
    <row r="120" spans="1:18" x14ac:dyDescent="0.25">
      <c r="A120">
        <v>581</v>
      </c>
      <c r="B120" t="s">
        <v>67</v>
      </c>
      <c r="C120" t="s">
        <v>603</v>
      </c>
      <c r="D120" t="s">
        <v>219</v>
      </c>
      <c r="E120">
        <v>1343</v>
      </c>
      <c r="F120" t="s">
        <v>249</v>
      </c>
      <c r="G120">
        <v>29</v>
      </c>
      <c r="H120" t="s">
        <v>389</v>
      </c>
      <c r="J120" t="s">
        <v>623</v>
      </c>
      <c r="K120" t="s">
        <v>626</v>
      </c>
      <c r="Q120" t="s">
        <v>624</v>
      </c>
    </row>
    <row r="121" spans="1:18" x14ac:dyDescent="0.25">
      <c r="A121">
        <v>581</v>
      </c>
      <c r="B121" t="s">
        <v>67</v>
      </c>
      <c r="C121" t="s">
        <v>603</v>
      </c>
      <c r="D121" t="s">
        <v>219</v>
      </c>
      <c r="E121">
        <v>1343</v>
      </c>
      <c r="F121" t="s">
        <v>249</v>
      </c>
      <c r="G121">
        <v>29</v>
      </c>
      <c r="H121" t="s">
        <v>645</v>
      </c>
      <c r="J121" t="s">
        <v>646</v>
      </c>
      <c r="K121" t="s">
        <v>643</v>
      </c>
      <c r="L121" t="s">
        <v>647</v>
      </c>
      <c r="M121" s="15" t="s">
        <v>1476</v>
      </c>
    </row>
    <row r="122" spans="1:18" x14ac:dyDescent="0.25">
      <c r="A122">
        <v>581</v>
      </c>
      <c r="B122" t="s">
        <v>67</v>
      </c>
      <c r="C122" t="s">
        <v>603</v>
      </c>
      <c r="D122" t="s">
        <v>219</v>
      </c>
      <c r="E122">
        <v>1343</v>
      </c>
      <c r="F122" t="s">
        <v>249</v>
      </c>
      <c r="G122">
        <v>29</v>
      </c>
      <c r="H122" t="s">
        <v>645</v>
      </c>
      <c r="J122" t="s">
        <v>658</v>
      </c>
      <c r="K122" t="s">
        <v>659</v>
      </c>
      <c r="L122" t="s">
        <v>660</v>
      </c>
    </row>
    <row r="123" spans="1:18" x14ac:dyDescent="0.25">
      <c r="A123">
        <v>581</v>
      </c>
      <c r="B123" t="s">
        <v>67</v>
      </c>
      <c r="C123" t="s">
        <v>603</v>
      </c>
      <c r="D123" t="s">
        <v>219</v>
      </c>
      <c r="E123">
        <v>1343</v>
      </c>
      <c r="F123" t="s">
        <v>249</v>
      </c>
      <c r="G123">
        <v>29</v>
      </c>
      <c r="H123" t="s">
        <v>604</v>
      </c>
      <c r="J123" t="s">
        <v>605</v>
      </c>
      <c r="K123" t="s">
        <v>606</v>
      </c>
      <c r="L123" t="s">
        <v>607</v>
      </c>
    </row>
    <row r="124" spans="1:18" x14ac:dyDescent="0.25">
      <c r="A124">
        <v>581</v>
      </c>
      <c r="B124" t="s">
        <v>67</v>
      </c>
      <c r="C124" t="s">
        <v>603</v>
      </c>
      <c r="D124" t="s">
        <v>219</v>
      </c>
      <c r="E124">
        <v>1343</v>
      </c>
      <c r="F124" t="s">
        <v>249</v>
      </c>
      <c r="G124">
        <v>29</v>
      </c>
      <c r="H124" t="s">
        <v>632</v>
      </c>
      <c r="J124" t="s">
        <v>605</v>
      </c>
      <c r="K124" t="s">
        <v>619</v>
      </c>
      <c r="L124" t="s">
        <v>608</v>
      </c>
    </row>
    <row r="125" spans="1:18" x14ac:dyDescent="0.25">
      <c r="A125">
        <v>581</v>
      </c>
      <c r="B125" t="s">
        <v>67</v>
      </c>
      <c r="C125" t="s">
        <v>603</v>
      </c>
      <c r="D125" t="s">
        <v>219</v>
      </c>
      <c r="E125">
        <v>1343</v>
      </c>
      <c r="F125" t="s">
        <v>249</v>
      </c>
      <c r="G125">
        <v>29</v>
      </c>
      <c r="H125" t="s">
        <v>663</v>
      </c>
      <c r="J125" t="s">
        <v>664</v>
      </c>
      <c r="K125" t="s">
        <v>665</v>
      </c>
    </row>
    <row r="126" spans="1:18" x14ac:dyDescent="0.25">
      <c r="A126">
        <v>581</v>
      </c>
      <c r="B126" t="s">
        <v>67</v>
      </c>
      <c r="C126" t="s">
        <v>603</v>
      </c>
      <c r="D126" t="s">
        <v>219</v>
      </c>
      <c r="E126">
        <v>1343</v>
      </c>
      <c r="F126" t="s">
        <v>249</v>
      </c>
      <c r="G126">
        <v>29</v>
      </c>
      <c r="H126" t="s">
        <v>3870</v>
      </c>
      <c r="J126" t="s">
        <v>631</v>
      </c>
      <c r="K126" s="15" t="s">
        <v>1475</v>
      </c>
    </row>
    <row r="127" spans="1:18" x14ac:dyDescent="0.25">
      <c r="A127">
        <v>581</v>
      </c>
      <c r="B127" t="s">
        <v>67</v>
      </c>
      <c r="C127" t="s">
        <v>603</v>
      </c>
      <c r="D127" t="s">
        <v>219</v>
      </c>
      <c r="E127">
        <v>1343</v>
      </c>
      <c r="F127" t="s">
        <v>249</v>
      </c>
      <c r="G127">
        <v>29</v>
      </c>
      <c r="H127" t="s">
        <v>621</v>
      </c>
      <c r="K127" t="s">
        <v>620</v>
      </c>
    </row>
    <row r="128" spans="1:18" x14ac:dyDescent="0.25">
      <c r="A128">
        <v>601</v>
      </c>
      <c r="B128" t="s">
        <v>670</v>
      </c>
      <c r="C128" t="s">
        <v>671</v>
      </c>
      <c r="D128" t="s">
        <v>219</v>
      </c>
      <c r="E128">
        <v>1343</v>
      </c>
      <c r="F128" t="s">
        <v>249</v>
      </c>
      <c r="G128">
        <v>29</v>
      </c>
      <c r="H128" t="s">
        <v>645</v>
      </c>
      <c r="I128" t="s">
        <v>742</v>
      </c>
      <c r="K128" t="s">
        <v>673</v>
      </c>
      <c r="Q128" t="s">
        <v>674</v>
      </c>
    </row>
    <row r="129" spans="1:18" x14ac:dyDescent="0.25">
      <c r="A129">
        <v>601</v>
      </c>
      <c r="B129" t="s">
        <v>670</v>
      </c>
      <c r="C129" t="s">
        <v>671</v>
      </c>
      <c r="D129" t="s">
        <v>219</v>
      </c>
      <c r="E129">
        <v>1343</v>
      </c>
      <c r="F129" t="s">
        <v>249</v>
      </c>
      <c r="G129">
        <v>29</v>
      </c>
      <c r="H129" t="s">
        <v>645</v>
      </c>
      <c r="I129" t="s">
        <v>744</v>
      </c>
      <c r="Q129" t="s">
        <v>678</v>
      </c>
    </row>
    <row r="130" spans="1:18" x14ac:dyDescent="0.25">
      <c r="A130">
        <v>601</v>
      </c>
      <c r="B130" t="s">
        <v>670</v>
      </c>
      <c r="C130" t="s">
        <v>671</v>
      </c>
      <c r="D130" t="s">
        <v>219</v>
      </c>
      <c r="E130">
        <v>1343</v>
      </c>
      <c r="F130" t="s">
        <v>249</v>
      </c>
      <c r="G130">
        <v>29</v>
      </c>
      <c r="H130" t="s">
        <v>645</v>
      </c>
      <c r="I130" t="s">
        <v>743</v>
      </c>
      <c r="K130" t="s">
        <v>673</v>
      </c>
      <c r="Q130" t="s">
        <v>674</v>
      </c>
    </row>
    <row r="131" spans="1:18" x14ac:dyDescent="0.25">
      <c r="A131">
        <v>601</v>
      </c>
      <c r="B131" t="s">
        <v>670</v>
      </c>
      <c r="C131" t="s">
        <v>671</v>
      </c>
      <c r="D131" t="s">
        <v>219</v>
      </c>
      <c r="E131">
        <v>1343</v>
      </c>
      <c r="F131" t="s">
        <v>249</v>
      </c>
      <c r="G131">
        <v>29</v>
      </c>
      <c r="H131" t="s">
        <v>679</v>
      </c>
      <c r="J131" t="s">
        <v>681</v>
      </c>
      <c r="Q131" t="s">
        <v>680</v>
      </c>
    </row>
    <row r="132" spans="1:18" x14ac:dyDescent="0.25">
      <c r="A132">
        <v>611</v>
      </c>
      <c r="B132" t="s">
        <v>13</v>
      </c>
      <c r="C132" t="s">
        <v>671</v>
      </c>
      <c r="D132" t="s">
        <v>219</v>
      </c>
      <c r="E132">
        <v>1343</v>
      </c>
      <c r="F132" t="s">
        <v>249</v>
      </c>
      <c r="G132">
        <v>29</v>
      </c>
      <c r="H132" t="s">
        <v>679</v>
      </c>
      <c r="I132" t="s">
        <v>745</v>
      </c>
      <c r="Q132" t="s">
        <v>687</v>
      </c>
    </row>
    <row r="133" spans="1:18" x14ac:dyDescent="0.25">
      <c r="A133">
        <v>611</v>
      </c>
      <c r="B133" t="s">
        <v>13</v>
      </c>
      <c r="C133" t="s">
        <v>671</v>
      </c>
      <c r="D133" t="s">
        <v>219</v>
      </c>
      <c r="E133">
        <v>1343</v>
      </c>
      <c r="F133" t="s">
        <v>249</v>
      </c>
      <c r="G133">
        <v>29</v>
      </c>
      <c r="H133" t="s">
        <v>796</v>
      </c>
      <c r="I133" t="s">
        <v>795</v>
      </c>
      <c r="J133" t="s">
        <v>68</v>
      </c>
      <c r="R133" t="s">
        <v>463</v>
      </c>
    </row>
    <row r="134" spans="1:18" x14ac:dyDescent="0.25">
      <c r="A134">
        <v>611</v>
      </c>
      <c r="B134" t="s">
        <v>13</v>
      </c>
      <c r="C134" t="s">
        <v>671</v>
      </c>
      <c r="D134" t="s">
        <v>219</v>
      </c>
      <c r="E134">
        <v>1343</v>
      </c>
      <c r="F134" t="s">
        <v>249</v>
      </c>
      <c r="G134">
        <v>29</v>
      </c>
      <c r="H134" t="s">
        <v>389</v>
      </c>
      <c r="J134" t="s">
        <v>692</v>
      </c>
    </row>
    <row r="135" spans="1:18" x14ac:dyDescent="0.25">
      <c r="A135">
        <v>621</v>
      </c>
      <c r="B135" t="s">
        <v>98</v>
      </c>
      <c r="C135" t="s">
        <v>671</v>
      </c>
      <c r="D135" t="s">
        <v>219</v>
      </c>
      <c r="E135">
        <v>1343</v>
      </c>
      <c r="F135" t="s">
        <v>249</v>
      </c>
      <c r="G135">
        <v>29</v>
      </c>
      <c r="H135" t="s">
        <v>389</v>
      </c>
      <c r="J135" t="s">
        <v>692</v>
      </c>
    </row>
    <row r="136" spans="1:18" x14ac:dyDescent="0.25">
      <c r="A136">
        <v>631</v>
      </c>
      <c r="B136" t="s">
        <v>13</v>
      </c>
      <c r="C136" t="s">
        <v>671</v>
      </c>
      <c r="D136" t="s">
        <v>219</v>
      </c>
      <c r="E136">
        <v>1343</v>
      </c>
      <c r="F136" t="s">
        <v>249</v>
      </c>
      <c r="G136">
        <v>29</v>
      </c>
      <c r="H136" t="s">
        <v>389</v>
      </c>
      <c r="J136" t="s">
        <v>692</v>
      </c>
    </row>
    <row r="137" spans="1:18" x14ac:dyDescent="0.25">
      <c r="A137">
        <v>651</v>
      </c>
      <c r="B137" t="s">
        <v>567</v>
      </c>
      <c r="C137" t="s">
        <v>671</v>
      </c>
      <c r="D137" t="s">
        <v>219</v>
      </c>
      <c r="E137">
        <v>1343</v>
      </c>
      <c r="F137" t="s">
        <v>249</v>
      </c>
      <c r="G137">
        <v>29</v>
      </c>
      <c r="H137" t="s">
        <v>398</v>
      </c>
      <c r="I137" t="s">
        <v>700</v>
      </c>
      <c r="Q137" t="s">
        <v>698</v>
      </c>
    </row>
    <row r="138" spans="1:18" x14ac:dyDescent="0.25">
      <c r="A138">
        <v>651</v>
      </c>
      <c r="B138" t="s">
        <v>567</v>
      </c>
      <c r="C138" t="s">
        <v>671</v>
      </c>
      <c r="D138" t="s">
        <v>219</v>
      </c>
      <c r="E138">
        <v>1343</v>
      </c>
      <c r="F138" t="s">
        <v>249</v>
      </c>
      <c r="G138">
        <v>29</v>
      </c>
      <c r="H138" t="s">
        <v>645</v>
      </c>
      <c r="I138" t="s">
        <v>700</v>
      </c>
    </row>
    <row r="139" spans="1:18" x14ac:dyDescent="0.25">
      <c r="A139">
        <v>651</v>
      </c>
      <c r="B139" t="s">
        <v>567</v>
      </c>
      <c r="C139" t="s">
        <v>671</v>
      </c>
      <c r="D139" t="s">
        <v>219</v>
      </c>
      <c r="E139">
        <v>1343</v>
      </c>
      <c r="F139" t="s">
        <v>249</v>
      </c>
      <c r="G139">
        <v>29</v>
      </c>
      <c r="H139" t="s">
        <v>389</v>
      </c>
      <c r="J139" t="s">
        <v>692</v>
      </c>
    </row>
    <row r="140" spans="1:18" x14ac:dyDescent="0.25">
      <c r="A140">
        <v>661</v>
      </c>
      <c r="B140" t="s">
        <v>39</v>
      </c>
      <c r="C140" t="s">
        <v>671</v>
      </c>
      <c r="D140" t="s">
        <v>219</v>
      </c>
      <c r="E140">
        <v>1343</v>
      </c>
      <c r="F140" t="s">
        <v>249</v>
      </c>
      <c r="G140">
        <v>29</v>
      </c>
      <c r="H140" t="s">
        <v>540</v>
      </c>
      <c r="J140" t="s">
        <v>753</v>
      </c>
    </row>
    <row r="141" spans="1:18" x14ac:dyDescent="0.25">
      <c r="A141">
        <v>671</v>
      </c>
      <c r="B141" t="s">
        <v>39</v>
      </c>
      <c r="C141" t="s">
        <v>68</v>
      </c>
      <c r="D141" t="s">
        <v>219</v>
      </c>
      <c r="E141">
        <v>1343</v>
      </c>
      <c r="F141" t="s">
        <v>249</v>
      </c>
      <c r="G141">
        <v>29</v>
      </c>
      <c r="H141" t="s">
        <v>833</v>
      </c>
      <c r="J141" t="s">
        <v>562</v>
      </c>
      <c r="K141" t="s">
        <v>534</v>
      </c>
      <c r="L141" t="s">
        <v>746</v>
      </c>
    </row>
    <row r="142" spans="1:18" x14ac:dyDescent="0.25">
      <c r="A142">
        <v>671</v>
      </c>
      <c r="B142" t="s">
        <v>39</v>
      </c>
      <c r="C142" t="s">
        <v>68</v>
      </c>
      <c r="D142" t="s">
        <v>219</v>
      </c>
      <c r="E142">
        <v>1343</v>
      </c>
      <c r="F142" t="s">
        <v>249</v>
      </c>
      <c r="G142">
        <v>29</v>
      </c>
      <c r="H142" t="s">
        <v>540</v>
      </c>
      <c r="J142" t="s">
        <v>583</v>
      </c>
    </row>
    <row r="143" spans="1:18" x14ac:dyDescent="0.25">
      <c r="A143">
        <v>681</v>
      </c>
      <c r="B143" t="s">
        <v>13</v>
      </c>
      <c r="C143" t="s">
        <v>68</v>
      </c>
      <c r="D143" t="s">
        <v>219</v>
      </c>
      <c r="E143">
        <v>1343</v>
      </c>
      <c r="F143" t="s">
        <v>249</v>
      </c>
      <c r="G143">
        <v>29</v>
      </c>
      <c r="H143" t="s">
        <v>389</v>
      </c>
      <c r="J143" t="s">
        <v>759</v>
      </c>
    </row>
    <row r="144" spans="1:18" x14ac:dyDescent="0.25">
      <c r="A144">
        <v>691</v>
      </c>
      <c r="B144" t="s">
        <v>74</v>
      </c>
      <c r="C144" t="s">
        <v>68</v>
      </c>
      <c r="D144" t="s">
        <v>220</v>
      </c>
      <c r="E144">
        <v>1343</v>
      </c>
      <c r="G144" s="9" t="s">
        <v>760</v>
      </c>
      <c r="H144" t="s">
        <v>764</v>
      </c>
      <c r="J144" t="s">
        <v>765</v>
      </c>
    </row>
    <row r="145" spans="1:18" x14ac:dyDescent="0.25">
      <c r="A145">
        <v>691</v>
      </c>
      <c r="B145" t="s">
        <v>74</v>
      </c>
      <c r="C145" t="s">
        <v>68</v>
      </c>
      <c r="D145" t="s">
        <v>220</v>
      </c>
      <c r="E145">
        <v>1343</v>
      </c>
      <c r="G145" s="9" t="s">
        <v>760</v>
      </c>
      <c r="H145" t="s">
        <v>488</v>
      </c>
      <c r="J145" t="s">
        <v>989</v>
      </c>
    </row>
    <row r="146" spans="1:18" x14ac:dyDescent="0.25">
      <c r="A146">
        <v>701</v>
      </c>
      <c r="B146" t="s">
        <v>769</v>
      </c>
      <c r="C146" t="s">
        <v>68</v>
      </c>
      <c r="D146" t="s">
        <v>220</v>
      </c>
      <c r="E146">
        <v>1343</v>
      </c>
      <c r="G146" s="9" t="s">
        <v>760</v>
      </c>
      <c r="H146" t="s">
        <v>764</v>
      </c>
      <c r="J146" t="s">
        <v>560</v>
      </c>
    </row>
    <row r="147" spans="1:18" x14ac:dyDescent="0.25">
      <c r="A147">
        <v>721</v>
      </c>
      <c r="B147" t="s">
        <v>13</v>
      </c>
      <c r="C147" t="s">
        <v>776</v>
      </c>
      <c r="D147" t="s">
        <v>219</v>
      </c>
      <c r="E147">
        <v>1343</v>
      </c>
      <c r="F147" t="s">
        <v>383</v>
      </c>
      <c r="G147">
        <v>13</v>
      </c>
      <c r="H147" t="s">
        <v>227</v>
      </c>
      <c r="I147" t="s">
        <v>783</v>
      </c>
      <c r="K147" t="s">
        <v>3893</v>
      </c>
      <c r="L147" t="s">
        <v>3892</v>
      </c>
    </row>
    <row r="148" spans="1:18" x14ac:dyDescent="0.25">
      <c r="A148">
        <v>721</v>
      </c>
      <c r="B148" t="s">
        <v>13</v>
      </c>
      <c r="C148" t="s">
        <v>776</v>
      </c>
      <c r="D148" t="s">
        <v>219</v>
      </c>
      <c r="E148">
        <v>1343</v>
      </c>
      <c r="F148" t="s">
        <v>383</v>
      </c>
      <c r="G148">
        <v>13</v>
      </c>
      <c r="H148" t="s">
        <v>206</v>
      </c>
      <c r="I148" t="s">
        <v>780</v>
      </c>
      <c r="K148" t="s">
        <v>781</v>
      </c>
      <c r="L148" t="s">
        <v>1077</v>
      </c>
      <c r="Q148" t="s">
        <v>782</v>
      </c>
    </row>
    <row r="149" spans="1:18" x14ac:dyDescent="0.25">
      <c r="A149">
        <v>721</v>
      </c>
      <c r="B149" t="s">
        <v>13</v>
      </c>
      <c r="C149" t="s">
        <v>776</v>
      </c>
      <c r="D149" t="s">
        <v>219</v>
      </c>
      <c r="E149">
        <v>1343</v>
      </c>
      <c r="F149" t="s">
        <v>383</v>
      </c>
      <c r="G149">
        <v>13</v>
      </c>
      <c r="H149" t="s">
        <v>389</v>
      </c>
      <c r="J149" t="s">
        <v>777</v>
      </c>
      <c r="K149" t="s">
        <v>778</v>
      </c>
      <c r="L149" t="s">
        <v>779</v>
      </c>
    </row>
    <row r="150" spans="1:18" x14ac:dyDescent="0.25">
      <c r="A150">
        <v>721</v>
      </c>
      <c r="B150" t="s">
        <v>13</v>
      </c>
      <c r="C150" t="s">
        <v>776</v>
      </c>
      <c r="D150" t="s">
        <v>219</v>
      </c>
      <c r="E150">
        <v>1343</v>
      </c>
      <c r="F150" t="s">
        <v>383</v>
      </c>
      <c r="G150">
        <v>13</v>
      </c>
      <c r="H150" s="8" t="s">
        <v>398</v>
      </c>
      <c r="K150" t="s">
        <v>778</v>
      </c>
      <c r="Q150" t="s">
        <v>844</v>
      </c>
    </row>
    <row r="151" spans="1:18" x14ac:dyDescent="0.25">
      <c r="A151">
        <v>731</v>
      </c>
      <c r="B151" t="s">
        <v>13</v>
      </c>
      <c r="C151" t="s">
        <v>776</v>
      </c>
      <c r="D151" t="s">
        <v>219</v>
      </c>
      <c r="E151">
        <v>1343</v>
      </c>
      <c r="F151" t="s">
        <v>383</v>
      </c>
      <c r="G151">
        <v>13</v>
      </c>
      <c r="H151" t="s">
        <v>679</v>
      </c>
      <c r="I151" t="s">
        <v>799</v>
      </c>
      <c r="K151" t="s">
        <v>800</v>
      </c>
    </row>
    <row r="152" spans="1:18" x14ac:dyDescent="0.25">
      <c r="A152">
        <v>731</v>
      </c>
      <c r="B152" t="s">
        <v>13</v>
      </c>
      <c r="C152" t="s">
        <v>776</v>
      </c>
      <c r="D152" t="s">
        <v>219</v>
      </c>
      <c r="E152">
        <v>1343</v>
      </c>
      <c r="F152" t="s">
        <v>383</v>
      </c>
      <c r="G152">
        <v>13</v>
      </c>
      <c r="H152" t="s">
        <v>1683</v>
      </c>
      <c r="I152" t="s">
        <v>797</v>
      </c>
      <c r="K152" t="s">
        <v>792</v>
      </c>
      <c r="L152" t="s">
        <v>793</v>
      </c>
      <c r="M152" t="s">
        <v>794</v>
      </c>
      <c r="R152" t="s">
        <v>463</v>
      </c>
    </row>
    <row r="153" spans="1:18" x14ac:dyDescent="0.25">
      <c r="A153">
        <v>741</v>
      </c>
      <c r="B153" t="s">
        <v>19</v>
      </c>
      <c r="C153" t="s">
        <v>776</v>
      </c>
      <c r="D153" t="s">
        <v>219</v>
      </c>
      <c r="E153">
        <v>1343</v>
      </c>
      <c r="F153" t="s">
        <v>383</v>
      </c>
      <c r="G153">
        <v>13</v>
      </c>
      <c r="H153" t="s">
        <v>679</v>
      </c>
      <c r="I153" t="s">
        <v>868</v>
      </c>
      <c r="K153" t="s">
        <v>808</v>
      </c>
      <c r="L153" t="s">
        <v>809</v>
      </c>
    </row>
    <row r="154" spans="1:18" x14ac:dyDescent="0.25">
      <c r="A154">
        <v>741</v>
      </c>
      <c r="B154" t="s">
        <v>19</v>
      </c>
      <c r="C154" t="s">
        <v>776</v>
      </c>
      <c r="D154" t="s">
        <v>219</v>
      </c>
      <c r="E154">
        <v>1343</v>
      </c>
      <c r="F154" t="s">
        <v>383</v>
      </c>
      <c r="G154">
        <v>13</v>
      </c>
      <c r="H154" s="8" t="s">
        <v>398</v>
      </c>
      <c r="I154" t="s">
        <v>810</v>
      </c>
      <c r="K154" t="s">
        <v>900</v>
      </c>
      <c r="L154" t="s">
        <v>819</v>
      </c>
    </row>
    <row r="155" spans="1:18" x14ac:dyDescent="0.25">
      <c r="A155">
        <v>741</v>
      </c>
      <c r="B155" t="s">
        <v>19</v>
      </c>
      <c r="C155" t="s">
        <v>776</v>
      </c>
      <c r="D155" t="s">
        <v>219</v>
      </c>
      <c r="E155">
        <v>1343</v>
      </c>
      <c r="F155" t="s">
        <v>383</v>
      </c>
      <c r="G155">
        <v>13</v>
      </c>
      <c r="H155" s="8" t="s">
        <v>398</v>
      </c>
      <c r="I155" t="s">
        <v>805</v>
      </c>
      <c r="J155" t="s">
        <v>804</v>
      </c>
      <c r="K155" t="s">
        <v>806</v>
      </c>
      <c r="L155" t="s">
        <v>807</v>
      </c>
    </row>
    <row r="156" spans="1:18" x14ac:dyDescent="0.25">
      <c r="A156">
        <v>741</v>
      </c>
      <c r="B156" t="s">
        <v>19</v>
      </c>
      <c r="C156" t="s">
        <v>776</v>
      </c>
      <c r="D156" t="s">
        <v>219</v>
      </c>
      <c r="E156">
        <v>1343</v>
      </c>
      <c r="F156" t="s">
        <v>383</v>
      </c>
      <c r="G156">
        <v>13</v>
      </c>
      <c r="H156" t="s">
        <v>398</v>
      </c>
      <c r="J156" t="s">
        <v>813</v>
      </c>
    </row>
    <row r="157" spans="1:18" x14ac:dyDescent="0.25">
      <c r="A157">
        <v>741</v>
      </c>
      <c r="B157" t="s">
        <v>19</v>
      </c>
      <c r="C157" t="s">
        <v>776</v>
      </c>
      <c r="D157" t="s">
        <v>219</v>
      </c>
      <c r="E157">
        <v>1343</v>
      </c>
      <c r="F157" t="s">
        <v>383</v>
      </c>
      <c r="G157">
        <v>13</v>
      </c>
      <c r="H157" t="s">
        <v>329</v>
      </c>
      <c r="J157" t="s">
        <v>881</v>
      </c>
      <c r="K157" t="s">
        <v>812</v>
      </c>
      <c r="L157" t="s">
        <v>778</v>
      </c>
    </row>
    <row r="158" spans="1:18" x14ac:dyDescent="0.25">
      <c r="A158">
        <v>742</v>
      </c>
      <c r="B158" t="s">
        <v>19</v>
      </c>
      <c r="C158" t="s">
        <v>776</v>
      </c>
      <c r="D158" t="s">
        <v>219</v>
      </c>
      <c r="E158">
        <v>1343</v>
      </c>
      <c r="F158" t="s">
        <v>817</v>
      </c>
      <c r="G158">
        <v>23</v>
      </c>
      <c r="H158" s="8" t="s">
        <v>398</v>
      </c>
      <c r="J158" t="s">
        <v>818</v>
      </c>
      <c r="K158" t="s">
        <v>820</v>
      </c>
      <c r="L158" t="s">
        <v>821</v>
      </c>
      <c r="M158" t="s">
        <v>822</v>
      </c>
      <c r="Q158" t="s">
        <v>838</v>
      </c>
    </row>
    <row r="159" spans="1:18" x14ac:dyDescent="0.25">
      <c r="A159">
        <v>743</v>
      </c>
      <c r="B159" t="s">
        <v>127</v>
      </c>
      <c r="C159" t="s">
        <v>776</v>
      </c>
      <c r="D159" t="s">
        <v>219</v>
      </c>
      <c r="E159">
        <v>1343</v>
      </c>
      <c r="F159" t="s">
        <v>817</v>
      </c>
      <c r="G159">
        <v>23</v>
      </c>
      <c r="H159" t="s">
        <v>389</v>
      </c>
      <c r="J159" t="s">
        <v>842</v>
      </c>
      <c r="K159" t="s">
        <v>843</v>
      </c>
      <c r="Q159" t="s">
        <v>844</v>
      </c>
    </row>
    <row r="160" spans="1:18" x14ac:dyDescent="0.25">
      <c r="A160">
        <v>751</v>
      </c>
      <c r="B160" t="s">
        <v>11</v>
      </c>
      <c r="C160" t="s">
        <v>776</v>
      </c>
      <c r="D160" t="s">
        <v>219</v>
      </c>
      <c r="E160">
        <v>1343</v>
      </c>
      <c r="F160" t="s">
        <v>383</v>
      </c>
      <c r="G160">
        <v>13</v>
      </c>
      <c r="H160" t="s">
        <v>1683</v>
      </c>
      <c r="I160" t="s">
        <v>860</v>
      </c>
      <c r="K160" t="s">
        <v>861</v>
      </c>
      <c r="L160" t="s">
        <v>862</v>
      </c>
    </row>
    <row r="161" spans="1:18" x14ac:dyDescent="0.25">
      <c r="A161">
        <v>751</v>
      </c>
      <c r="B161" t="s">
        <v>11</v>
      </c>
      <c r="C161" t="s">
        <v>776</v>
      </c>
      <c r="D161" t="s">
        <v>219</v>
      </c>
      <c r="E161">
        <v>1343</v>
      </c>
      <c r="F161" t="s">
        <v>383</v>
      </c>
      <c r="G161">
        <v>13</v>
      </c>
      <c r="H161" s="8" t="s">
        <v>398</v>
      </c>
      <c r="I161" t="s">
        <v>868</v>
      </c>
      <c r="K161" t="s">
        <v>3889</v>
      </c>
      <c r="L161" t="s">
        <v>866</v>
      </c>
    </row>
    <row r="162" spans="1:18" x14ac:dyDescent="0.25">
      <c r="A162">
        <v>751</v>
      </c>
      <c r="B162" t="s">
        <v>11</v>
      </c>
      <c r="C162" t="s">
        <v>776</v>
      </c>
      <c r="D162" t="s">
        <v>219</v>
      </c>
      <c r="E162">
        <v>1343</v>
      </c>
      <c r="F162" t="s">
        <v>383</v>
      </c>
      <c r="G162">
        <v>13</v>
      </c>
      <c r="H162" t="s">
        <v>488</v>
      </c>
      <c r="I162" t="s">
        <v>868</v>
      </c>
      <c r="K162" t="s">
        <v>867</v>
      </c>
    </row>
    <row r="163" spans="1:18" x14ac:dyDescent="0.25">
      <c r="A163">
        <v>751</v>
      </c>
      <c r="B163" t="s">
        <v>11</v>
      </c>
      <c r="C163" t="s">
        <v>776</v>
      </c>
      <c r="D163" t="s">
        <v>219</v>
      </c>
      <c r="E163">
        <v>1343</v>
      </c>
      <c r="F163" t="s">
        <v>383</v>
      </c>
      <c r="G163">
        <v>13</v>
      </c>
      <c r="H163" t="s">
        <v>679</v>
      </c>
      <c r="I163" t="s">
        <v>868</v>
      </c>
      <c r="K163" t="s">
        <v>869</v>
      </c>
    </row>
    <row r="164" spans="1:18" x14ac:dyDescent="0.25">
      <c r="A164">
        <v>751</v>
      </c>
      <c r="B164" t="s">
        <v>11</v>
      </c>
      <c r="C164" t="s">
        <v>776</v>
      </c>
      <c r="D164" t="s">
        <v>219</v>
      </c>
      <c r="E164">
        <v>1343</v>
      </c>
      <c r="F164" t="s">
        <v>383</v>
      </c>
      <c r="G164">
        <v>13</v>
      </c>
      <c r="H164" t="s">
        <v>873</v>
      </c>
      <c r="I164" t="s">
        <v>89</v>
      </c>
    </row>
    <row r="165" spans="1:18" x14ac:dyDescent="0.25">
      <c r="A165">
        <v>751</v>
      </c>
      <c r="B165" t="s">
        <v>11</v>
      </c>
      <c r="C165" t="s">
        <v>776</v>
      </c>
      <c r="D165" t="s">
        <v>219</v>
      </c>
      <c r="E165">
        <v>1343</v>
      </c>
      <c r="F165" t="s">
        <v>383</v>
      </c>
      <c r="G165">
        <v>13</v>
      </c>
      <c r="H165" t="s">
        <v>645</v>
      </c>
      <c r="I165" t="s">
        <v>872</v>
      </c>
      <c r="K165" t="s">
        <v>871</v>
      </c>
      <c r="L165" t="s">
        <v>3896</v>
      </c>
      <c r="Q165" t="s">
        <v>870</v>
      </c>
    </row>
    <row r="166" spans="1:18" x14ac:dyDescent="0.25">
      <c r="A166">
        <v>751</v>
      </c>
      <c r="B166" t="s">
        <v>11</v>
      </c>
      <c r="C166" t="s">
        <v>776</v>
      </c>
      <c r="D166" t="s">
        <v>219</v>
      </c>
      <c r="E166">
        <v>1343</v>
      </c>
      <c r="F166" t="s">
        <v>383</v>
      </c>
      <c r="G166">
        <v>13</v>
      </c>
      <c r="H166" s="8" t="s">
        <v>398</v>
      </c>
      <c r="I166" t="s">
        <v>853</v>
      </c>
      <c r="K166" t="s">
        <v>854</v>
      </c>
      <c r="L166" t="s">
        <v>855</v>
      </c>
      <c r="M166" t="s">
        <v>856</v>
      </c>
    </row>
    <row r="167" spans="1:18" x14ac:dyDescent="0.25">
      <c r="A167">
        <v>751</v>
      </c>
      <c r="B167" t="s">
        <v>11</v>
      </c>
      <c r="C167" t="s">
        <v>776</v>
      </c>
      <c r="D167" t="s">
        <v>219</v>
      </c>
      <c r="E167">
        <v>1343</v>
      </c>
      <c r="F167" t="s">
        <v>383</v>
      </c>
      <c r="G167">
        <v>13</v>
      </c>
      <c r="H167" t="s">
        <v>645</v>
      </c>
      <c r="I167" t="s">
        <v>858</v>
      </c>
      <c r="K167" t="s">
        <v>3897</v>
      </c>
      <c r="L167" t="s">
        <v>859</v>
      </c>
      <c r="Q167" t="s">
        <v>857</v>
      </c>
    </row>
    <row r="168" spans="1:18" x14ac:dyDescent="0.25">
      <c r="A168">
        <v>751</v>
      </c>
      <c r="B168" t="s">
        <v>11</v>
      </c>
      <c r="C168" t="s">
        <v>776</v>
      </c>
      <c r="D168" t="s">
        <v>219</v>
      </c>
      <c r="E168">
        <v>1343</v>
      </c>
      <c r="F168" t="s">
        <v>383</v>
      </c>
      <c r="G168">
        <v>13</v>
      </c>
      <c r="H168" t="s">
        <v>679</v>
      </c>
      <c r="I168" t="s">
        <v>863</v>
      </c>
      <c r="K168" t="s">
        <v>864</v>
      </c>
      <c r="L168" t="s">
        <v>865</v>
      </c>
    </row>
    <row r="169" spans="1:18" x14ac:dyDescent="0.25">
      <c r="A169">
        <v>751</v>
      </c>
      <c r="B169" t="s">
        <v>11</v>
      </c>
      <c r="C169" t="s">
        <v>776</v>
      </c>
      <c r="D169" t="s">
        <v>219</v>
      </c>
      <c r="E169">
        <v>1343</v>
      </c>
      <c r="F169" t="s">
        <v>383</v>
      </c>
      <c r="G169">
        <v>13</v>
      </c>
      <c r="H169" t="s">
        <v>645</v>
      </c>
      <c r="I169" t="s">
        <v>851</v>
      </c>
      <c r="J169" t="s">
        <v>804</v>
      </c>
      <c r="K169" t="s">
        <v>811</v>
      </c>
      <c r="L169" t="s">
        <v>852</v>
      </c>
      <c r="R169" t="s">
        <v>3895</v>
      </c>
    </row>
    <row r="170" spans="1:18" x14ac:dyDescent="0.25">
      <c r="A170">
        <v>761</v>
      </c>
      <c r="B170" t="s">
        <v>135</v>
      </c>
      <c r="C170" t="s">
        <v>191</v>
      </c>
      <c r="D170" t="s">
        <v>219</v>
      </c>
      <c r="E170">
        <v>1343</v>
      </c>
      <c r="F170" t="s">
        <v>383</v>
      </c>
      <c r="G170">
        <v>14</v>
      </c>
      <c r="H170" t="s">
        <v>833</v>
      </c>
      <c r="J170" t="s">
        <v>883</v>
      </c>
      <c r="K170" t="s">
        <v>884</v>
      </c>
      <c r="L170" t="s">
        <v>899</v>
      </c>
      <c r="M170" t="s">
        <v>885</v>
      </c>
      <c r="N170" t="s">
        <v>886</v>
      </c>
      <c r="O170" t="s">
        <v>887</v>
      </c>
    </row>
    <row r="171" spans="1:18" x14ac:dyDescent="0.25">
      <c r="A171">
        <v>761</v>
      </c>
      <c r="B171" t="s">
        <v>135</v>
      </c>
      <c r="C171" t="s">
        <v>191</v>
      </c>
      <c r="D171" t="s">
        <v>219</v>
      </c>
      <c r="E171">
        <v>1343</v>
      </c>
      <c r="F171" t="s">
        <v>383</v>
      </c>
      <c r="G171">
        <v>14</v>
      </c>
      <c r="H171" t="s">
        <v>540</v>
      </c>
      <c r="J171" t="s">
        <v>882</v>
      </c>
    </row>
    <row r="172" spans="1:18" x14ac:dyDescent="0.25">
      <c r="A172">
        <v>771</v>
      </c>
      <c r="B172" t="s">
        <v>104</v>
      </c>
      <c r="C172" t="s">
        <v>191</v>
      </c>
      <c r="D172" t="s">
        <v>219</v>
      </c>
      <c r="E172">
        <v>1343</v>
      </c>
      <c r="F172" t="s">
        <v>383</v>
      </c>
      <c r="G172">
        <v>14</v>
      </c>
      <c r="H172" t="s">
        <v>389</v>
      </c>
      <c r="J172" t="s">
        <v>896</v>
      </c>
    </row>
    <row r="173" spans="1:18" x14ac:dyDescent="0.25">
      <c r="A173">
        <v>771</v>
      </c>
      <c r="B173" t="s">
        <v>104</v>
      </c>
      <c r="C173" t="s">
        <v>191</v>
      </c>
      <c r="D173" t="s">
        <v>219</v>
      </c>
      <c r="E173">
        <v>1343</v>
      </c>
      <c r="F173" t="s">
        <v>383</v>
      </c>
      <c r="G173">
        <v>14</v>
      </c>
      <c r="H173" t="s">
        <v>833</v>
      </c>
      <c r="J173" t="s">
        <v>897</v>
      </c>
      <c r="K173" t="s">
        <v>898</v>
      </c>
      <c r="L173" t="s">
        <v>886</v>
      </c>
      <c r="M173" t="s">
        <v>3935</v>
      </c>
    </row>
    <row r="174" spans="1:18" x14ac:dyDescent="0.25">
      <c r="A174">
        <v>781</v>
      </c>
      <c r="B174" t="s">
        <v>13</v>
      </c>
      <c r="C174" t="s">
        <v>191</v>
      </c>
      <c r="D174" t="s">
        <v>219</v>
      </c>
      <c r="E174">
        <v>1343</v>
      </c>
      <c r="F174" t="s">
        <v>383</v>
      </c>
      <c r="G174">
        <v>14</v>
      </c>
      <c r="H174" t="s">
        <v>540</v>
      </c>
      <c r="J174" t="s">
        <v>882</v>
      </c>
    </row>
    <row r="175" spans="1:18" x14ac:dyDescent="0.25">
      <c r="A175">
        <v>781</v>
      </c>
      <c r="B175" t="s">
        <v>13</v>
      </c>
      <c r="C175" t="s">
        <v>191</v>
      </c>
      <c r="D175" t="s">
        <v>219</v>
      </c>
      <c r="E175">
        <v>1343</v>
      </c>
      <c r="F175" t="s">
        <v>383</v>
      </c>
      <c r="G175">
        <v>14</v>
      </c>
      <c r="H175" t="s">
        <v>833</v>
      </c>
      <c r="J175" t="s">
        <v>897</v>
      </c>
      <c r="K175" t="s">
        <v>922</v>
      </c>
      <c r="L175" t="s">
        <v>923</v>
      </c>
      <c r="M175" t="s">
        <v>924</v>
      </c>
    </row>
    <row r="176" spans="1:18" x14ac:dyDescent="0.25">
      <c r="A176">
        <v>791</v>
      </c>
      <c r="B176" s="15" t="s">
        <v>1472</v>
      </c>
      <c r="C176" t="s">
        <v>776</v>
      </c>
      <c r="D176" t="s">
        <v>219</v>
      </c>
      <c r="E176">
        <v>1343</v>
      </c>
      <c r="F176" s="5" t="s">
        <v>383</v>
      </c>
      <c r="G176" s="5">
        <v>20</v>
      </c>
      <c r="H176" s="8" t="s">
        <v>398</v>
      </c>
      <c r="I176" t="s">
        <v>939</v>
      </c>
      <c r="J176" t="s">
        <v>940</v>
      </c>
      <c r="K176" t="s">
        <v>778</v>
      </c>
      <c r="L176" t="s">
        <v>778</v>
      </c>
      <c r="M176" t="s">
        <v>941</v>
      </c>
      <c r="N176" t="s">
        <v>942</v>
      </c>
    </row>
    <row r="177" spans="1:15" x14ac:dyDescent="0.25">
      <c r="A177">
        <v>792</v>
      </c>
      <c r="B177" t="s">
        <v>250</v>
      </c>
      <c r="C177" t="s">
        <v>776</v>
      </c>
      <c r="D177" t="s">
        <v>219</v>
      </c>
      <c r="E177">
        <v>1343</v>
      </c>
      <c r="F177" t="s">
        <v>383</v>
      </c>
      <c r="G177" s="5">
        <v>24</v>
      </c>
      <c r="H177" t="s">
        <v>645</v>
      </c>
      <c r="I177" s="5" t="s">
        <v>952</v>
      </c>
      <c r="K177" s="5" t="s">
        <v>953</v>
      </c>
      <c r="L177" s="5" t="s">
        <v>954</v>
      </c>
      <c r="M177" s="5" t="s">
        <v>955</v>
      </c>
    </row>
    <row r="178" spans="1:15" x14ac:dyDescent="0.25">
      <c r="A178">
        <v>792</v>
      </c>
      <c r="B178" t="s">
        <v>250</v>
      </c>
      <c r="C178" t="s">
        <v>776</v>
      </c>
      <c r="D178" t="s">
        <v>219</v>
      </c>
      <c r="E178">
        <v>1343</v>
      </c>
      <c r="F178" t="s">
        <v>383</v>
      </c>
      <c r="G178" s="5">
        <v>24</v>
      </c>
      <c r="H178" t="s">
        <v>645</v>
      </c>
      <c r="I178" s="5" t="s">
        <v>956</v>
      </c>
      <c r="K178" s="5" t="s">
        <v>957</v>
      </c>
      <c r="L178" s="5" t="s">
        <v>953</v>
      </c>
    </row>
    <row r="179" spans="1:15" x14ac:dyDescent="0.25">
      <c r="A179">
        <v>792</v>
      </c>
      <c r="B179" t="s">
        <v>250</v>
      </c>
      <c r="C179" t="s">
        <v>776</v>
      </c>
      <c r="D179" t="s">
        <v>219</v>
      </c>
      <c r="E179">
        <v>1343</v>
      </c>
      <c r="F179" t="s">
        <v>383</v>
      </c>
      <c r="G179" s="5">
        <v>24</v>
      </c>
      <c r="H179" t="s">
        <v>645</v>
      </c>
      <c r="I179" s="5" t="s">
        <v>949</v>
      </c>
      <c r="J179" s="5" t="s">
        <v>3891</v>
      </c>
      <c r="K179" s="5" t="s">
        <v>950</v>
      </c>
      <c r="L179" s="5" t="s">
        <v>951</v>
      </c>
    </row>
    <row r="180" spans="1:15" x14ac:dyDescent="0.25">
      <c r="A180">
        <v>792</v>
      </c>
      <c r="B180" t="s">
        <v>250</v>
      </c>
      <c r="C180" t="s">
        <v>776</v>
      </c>
      <c r="D180" t="s">
        <v>219</v>
      </c>
      <c r="E180">
        <v>1343</v>
      </c>
      <c r="F180" t="s">
        <v>383</v>
      </c>
      <c r="G180" s="5">
        <v>24</v>
      </c>
      <c r="H180" s="8" t="s">
        <v>398</v>
      </c>
      <c r="I180" s="5" t="s">
        <v>958</v>
      </c>
      <c r="K180" s="5" t="s">
        <v>960</v>
      </c>
      <c r="L180" s="5" t="s">
        <v>961</v>
      </c>
    </row>
    <row r="181" spans="1:15" x14ac:dyDescent="0.25">
      <c r="A181">
        <v>792</v>
      </c>
      <c r="B181" t="s">
        <v>250</v>
      </c>
      <c r="C181" t="s">
        <v>776</v>
      </c>
      <c r="D181" t="s">
        <v>219</v>
      </c>
      <c r="E181">
        <v>1343</v>
      </c>
      <c r="F181" t="s">
        <v>383</v>
      </c>
      <c r="G181" s="5">
        <v>24</v>
      </c>
      <c r="H181" s="8" t="s">
        <v>398</v>
      </c>
      <c r="I181" s="5" t="s">
        <v>964</v>
      </c>
      <c r="K181" t="s">
        <v>965</v>
      </c>
      <c r="L181" t="s">
        <v>966</v>
      </c>
    </row>
    <row r="182" spans="1:15" x14ac:dyDescent="0.25">
      <c r="A182">
        <v>792</v>
      </c>
      <c r="B182" t="s">
        <v>250</v>
      </c>
      <c r="C182" t="s">
        <v>776</v>
      </c>
      <c r="D182" t="s">
        <v>219</v>
      </c>
      <c r="E182">
        <v>1343</v>
      </c>
      <c r="F182" t="s">
        <v>383</v>
      </c>
      <c r="G182" s="5">
        <v>24</v>
      </c>
      <c r="H182" s="8" t="s">
        <v>398</v>
      </c>
      <c r="I182" s="5" t="s">
        <v>863</v>
      </c>
      <c r="K182" t="s">
        <v>962</v>
      </c>
      <c r="L182" t="s">
        <v>963</v>
      </c>
    </row>
    <row r="183" spans="1:15" x14ac:dyDescent="0.25">
      <c r="A183">
        <v>792</v>
      </c>
      <c r="B183" t="s">
        <v>250</v>
      </c>
      <c r="C183" t="s">
        <v>776</v>
      </c>
      <c r="D183" t="s">
        <v>219</v>
      </c>
      <c r="E183">
        <v>1343</v>
      </c>
      <c r="F183" t="s">
        <v>383</v>
      </c>
      <c r="G183" s="5">
        <v>24</v>
      </c>
      <c r="H183" s="5" t="s">
        <v>679</v>
      </c>
      <c r="K183" t="s">
        <v>959</v>
      </c>
    </row>
    <row r="184" spans="1:15" x14ac:dyDescent="0.25">
      <c r="A184">
        <v>792</v>
      </c>
      <c r="B184" t="s">
        <v>250</v>
      </c>
      <c r="C184" t="s">
        <v>776</v>
      </c>
      <c r="D184" t="s">
        <v>219</v>
      </c>
      <c r="E184">
        <v>1343</v>
      </c>
      <c r="F184" t="s">
        <v>383</v>
      </c>
      <c r="G184" s="5">
        <v>24</v>
      </c>
      <c r="H184" s="5" t="s">
        <v>967</v>
      </c>
      <c r="K184" t="s">
        <v>968</v>
      </c>
    </row>
    <row r="185" spans="1:15" x14ac:dyDescent="0.25">
      <c r="A185">
        <v>801</v>
      </c>
      <c r="B185" t="s">
        <v>975</v>
      </c>
      <c r="C185" t="s">
        <v>984</v>
      </c>
      <c r="D185" t="s">
        <v>219</v>
      </c>
      <c r="E185">
        <v>1343</v>
      </c>
      <c r="F185" t="s">
        <v>973</v>
      </c>
      <c r="G185" s="5">
        <v>4</v>
      </c>
      <c r="H185" s="8" t="s">
        <v>417</v>
      </c>
      <c r="J185" t="s">
        <v>978</v>
      </c>
    </row>
    <row r="186" spans="1:15" x14ac:dyDescent="0.25">
      <c r="A186">
        <v>801</v>
      </c>
      <c r="B186" t="s">
        <v>975</v>
      </c>
      <c r="C186" t="s">
        <v>984</v>
      </c>
      <c r="D186" t="s">
        <v>219</v>
      </c>
      <c r="E186">
        <v>1343</v>
      </c>
      <c r="F186" t="s">
        <v>973</v>
      </c>
      <c r="G186" s="5">
        <v>4</v>
      </c>
      <c r="H186" s="8" t="s">
        <v>398</v>
      </c>
      <c r="K186" t="s">
        <v>979</v>
      </c>
      <c r="L186" t="s">
        <v>980</v>
      </c>
      <c r="M186" t="s">
        <v>981</v>
      </c>
      <c r="N186" t="s">
        <v>982</v>
      </c>
      <c r="O186" t="s">
        <v>983</v>
      </c>
    </row>
    <row r="187" spans="1:15" x14ac:dyDescent="0.25">
      <c r="A187">
        <v>801</v>
      </c>
      <c r="B187" t="s">
        <v>975</v>
      </c>
      <c r="C187" t="s">
        <v>984</v>
      </c>
      <c r="D187" t="s">
        <v>219</v>
      </c>
      <c r="E187">
        <v>1343</v>
      </c>
      <c r="F187" t="s">
        <v>973</v>
      </c>
      <c r="G187" s="5">
        <v>4</v>
      </c>
      <c r="H187" s="5" t="s">
        <v>679</v>
      </c>
      <c r="K187" t="s">
        <v>979</v>
      </c>
      <c r="L187" t="s">
        <v>980</v>
      </c>
      <c r="M187" t="s">
        <v>981</v>
      </c>
      <c r="N187" t="s">
        <v>982</v>
      </c>
      <c r="O187" t="s">
        <v>983</v>
      </c>
    </row>
    <row r="188" spans="1:15" x14ac:dyDescent="0.25">
      <c r="A188">
        <v>811</v>
      </c>
      <c r="B188" s="15" t="s">
        <v>988</v>
      </c>
      <c r="C188" t="s">
        <v>68</v>
      </c>
      <c r="D188" t="s">
        <v>219</v>
      </c>
      <c r="E188">
        <v>1343</v>
      </c>
      <c r="F188" t="s">
        <v>973</v>
      </c>
      <c r="G188" s="5">
        <v>16</v>
      </c>
      <c r="H188" s="5" t="s">
        <v>833</v>
      </c>
      <c r="J188" t="s">
        <v>562</v>
      </c>
      <c r="K188" t="s">
        <v>990</v>
      </c>
      <c r="L188" t="s">
        <v>991</v>
      </c>
      <c r="M188" t="s">
        <v>992</v>
      </c>
      <c r="N188" t="s">
        <v>993</v>
      </c>
      <c r="O188" t="s">
        <v>3853</v>
      </c>
    </row>
    <row r="189" spans="1:15" x14ac:dyDescent="0.25">
      <c r="A189">
        <v>811</v>
      </c>
      <c r="B189" s="15" t="s">
        <v>988</v>
      </c>
      <c r="C189" t="s">
        <v>68</v>
      </c>
      <c r="D189" t="s">
        <v>219</v>
      </c>
      <c r="E189">
        <v>1343</v>
      </c>
      <c r="F189" t="s">
        <v>973</v>
      </c>
      <c r="G189" s="5">
        <v>16</v>
      </c>
      <c r="H189" s="5" t="s">
        <v>389</v>
      </c>
      <c r="J189" t="s">
        <v>759</v>
      </c>
    </row>
    <row r="190" spans="1:15" x14ac:dyDescent="0.25">
      <c r="A190">
        <v>811</v>
      </c>
      <c r="B190" s="15" t="s">
        <v>988</v>
      </c>
      <c r="C190" t="s">
        <v>68</v>
      </c>
      <c r="D190" t="s">
        <v>219</v>
      </c>
      <c r="E190">
        <v>1343</v>
      </c>
      <c r="F190" t="s">
        <v>973</v>
      </c>
      <c r="G190" s="5">
        <v>16</v>
      </c>
      <c r="H190" s="5" t="s">
        <v>488</v>
      </c>
      <c r="J190" t="s">
        <v>989</v>
      </c>
    </row>
    <row r="191" spans="1:15" x14ac:dyDescent="0.25">
      <c r="A191">
        <v>821</v>
      </c>
      <c r="B191" t="s">
        <v>465</v>
      </c>
      <c r="C191" t="s">
        <v>776</v>
      </c>
      <c r="D191" t="s">
        <v>219</v>
      </c>
      <c r="E191">
        <v>1343</v>
      </c>
      <c r="F191" t="s">
        <v>431</v>
      </c>
      <c r="G191" s="5">
        <v>29</v>
      </c>
      <c r="H191" s="8" t="s">
        <v>398</v>
      </c>
      <c r="I191" s="5" t="s">
        <v>952</v>
      </c>
      <c r="J191" t="s">
        <v>999</v>
      </c>
      <c r="K191" t="s">
        <v>1007</v>
      </c>
      <c r="L191" t="s">
        <v>1008</v>
      </c>
    </row>
    <row r="192" spans="1:15" x14ac:dyDescent="0.25">
      <c r="A192">
        <v>821</v>
      </c>
      <c r="B192" t="s">
        <v>465</v>
      </c>
      <c r="C192" t="s">
        <v>776</v>
      </c>
      <c r="D192" t="s">
        <v>219</v>
      </c>
      <c r="E192">
        <v>1343</v>
      </c>
      <c r="F192" t="s">
        <v>431</v>
      </c>
      <c r="G192" s="5">
        <v>29</v>
      </c>
      <c r="H192" s="8" t="s">
        <v>398</v>
      </c>
      <c r="J192" t="s">
        <v>1006</v>
      </c>
      <c r="K192" t="s">
        <v>1003</v>
      </c>
      <c r="L192" t="s">
        <v>1004</v>
      </c>
      <c r="M192" t="s">
        <v>1005</v>
      </c>
    </row>
    <row r="193" spans="1:17" x14ac:dyDescent="0.25">
      <c r="A193">
        <v>821</v>
      </c>
      <c r="B193" t="s">
        <v>465</v>
      </c>
      <c r="C193" t="s">
        <v>776</v>
      </c>
      <c r="D193" t="s">
        <v>219</v>
      </c>
      <c r="E193">
        <v>1343</v>
      </c>
      <c r="F193" t="s">
        <v>431</v>
      </c>
      <c r="G193" s="5">
        <v>29</v>
      </c>
      <c r="H193" s="8" t="s">
        <v>398</v>
      </c>
      <c r="J193" t="s">
        <v>999</v>
      </c>
      <c r="K193" t="s">
        <v>1000</v>
      </c>
      <c r="L193" t="s">
        <v>1001</v>
      </c>
      <c r="Q193" t="s">
        <v>1002</v>
      </c>
    </row>
    <row r="194" spans="1:17" x14ac:dyDescent="0.25">
      <c r="A194">
        <v>822</v>
      </c>
      <c r="B194" t="s">
        <v>50</v>
      </c>
      <c r="C194" t="s">
        <v>776</v>
      </c>
      <c r="D194" t="s">
        <v>219</v>
      </c>
      <c r="E194">
        <v>1343</v>
      </c>
      <c r="F194" t="s">
        <v>431</v>
      </c>
      <c r="G194" s="5">
        <v>29</v>
      </c>
      <c r="H194" s="5" t="s">
        <v>645</v>
      </c>
      <c r="I194" s="5" t="s">
        <v>1021</v>
      </c>
      <c r="K194" t="s">
        <v>1022</v>
      </c>
      <c r="L194" t="s">
        <v>1023</v>
      </c>
    </row>
    <row r="195" spans="1:17" x14ac:dyDescent="0.25">
      <c r="A195">
        <v>822</v>
      </c>
      <c r="B195" t="s">
        <v>50</v>
      </c>
      <c r="C195" t="s">
        <v>776</v>
      </c>
      <c r="D195" t="s">
        <v>219</v>
      </c>
      <c r="E195">
        <v>1343</v>
      </c>
      <c r="F195" t="s">
        <v>431</v>
      </c>
      <c r="G195" s="5">
        <v>29</v>
      </c>
      <c r="H195" s="5" t="s">
        <v>679</v>
      </c>
      <c r="J195" t="s">
        <v>999</v>
      </c>
      <c r="K195" t="s">
        <v>1019</v>
      </c>
      <c r="L195" t="s">
        <v>1020</v>
      </c>
    </row>
    <row r="196" spans="1:17" x14ac:dyDescent="0.25">
      <c r="A196">
        <v>831</v>
      </c>
      <c r="B196" t="s">
        <v>465</v>
      </c>
      <c r="C196" t="s">
        <v>776</v>
      </c>
      <c r="D196" t="s">
        <v>219</v>
      </c>
      <c r="E196">
        <v>1343</v>
      </c>
      <c r="F196" t="s">
        <v>431</v>
      </c>
      <c r="G196" s="5">
        <v>29</v>
      </c>
      <c r="H196" s="5" t="s">
        <v>645</v>
      </c>
      <c r="I196" s="5" t="s">
        <v>939</v>
      </c>
      <c r="K196" t="s">
        <v>1031</v>
      </c>
      <c r="L196" t="s">
        <v>1032</v>
      </c>
    </row>
    <row r="197" spans="1:17" x14ac:dyDescent="0.25">
      <c r="A197">
        <v>831</v>
      </c>
      <c r="B197" t="s">
        <v>465</v>
      </c>
      <c r="C197" t="s">
        <v>776</v>
      </c>
      <c r="D197" t="s">
        <v>219</v>
      </c>
      <c r="E197">
        <v>1343</v>
      </c>
      <c r="F197" t="s">
        <v>431</v>
      </c>
      <c r="G197" s="5">
        <v>29</v>
      </c>
      <c r="H197" s="5" t="s">
        <v>645</v>
      </c>
      <c r="I197" s="5" t="s">
        <v>1033</v>
      </c>
      <c r="K197" t="s">
        <v>3898</v>
      </c>
    </row>
    <row r="198" spans="1:17" x14ac:dyDescent="0.25">
      <c r="A198">
        <v>831</v>
      </c>
      <c r="B198" t="s">
        <v>465</v>
      </c>
      <c r="C198" t="s">
        <v>776</v>
      </c>
      <c r="D198" t="s">
        <v>219</v>
      </c>
      <c r="E198">
        <v>1343</v>
      </c>
      <c r="F198" t="s">
        <v>431</v>
      </c>
      <c r="G198" s="5">
        <v>29</v>
      </c>
      <c r="H198" s="8" t="s">
        <v>398</v>
      </c>
      <c r="I198" s="5" t="s">
        <v>1034</v>
      </c>
      <c r="K198" t="s">
        <v>3890</v>
      </c>
    </row>
    <row r="199" spans="1:17" x14ac:dyDescent="0.25">
      <c r="A199">
        <v>831</v>
      </c>
      <c r="B199" t="s">
        <v>465</v>
      </c>
      <c r="C199" t="s">
        <v>776</v>
      </c>
      <c r="D199" t="s">
        <v>219</v>
      </c>
      <c r="E199">
        <v>1343</v>
      </c>
      <c r="F199" t="s">
        <v>431</v>
      </c>
      <c r="G199" s="5">
        <v>29</v>
      </c>
      <c r="H199" s="5" t="s">
        <v>679</v>
      </c>
      <c r="J199" t="s">
        <v>999</v>
      </c>
      <c r="K199" t="s">
        <v>1035</v>
      </c>
      <c r="L199" t="s">
        <v>1036</v>
      </c>
    </row>
    <row r="200" spans="1:17" x14ac:dyDescent="0.25">
      <c r="A200">
        <v>831</v>
      </c>
      <c r="B200" t="s">
        <v>465</v>
      </c>
      <c r="C200" t="s">
        <v>776</v>
      </c>
      <c r="D200" t="s">
        <v>219</v>
      </c>
      <c r="E200">
        <v>1343</v>
      </c>
      <c r="F200" t="s">
        <v>431</v>
      </c>
      <c r="G200" s="5">
        <v>29</v>
      </c>
      <c r="H200" s="8" t="s">
        <v>398</v>
      </c>
      <c r="J200" t="s">
        <v>1028</v>
      </c>
      <c r="K200" t="s">
        <v>1029</v>
      </c>
      <c r="L200" t="s">
        <v>1030</v>
      </c>
    </row>
    <row r="201" spans="1:17" x14ac:dyDescent="0.25">
      <c r="A201">
        <v>841</v>
      </c>
      <c r="B201" t="s">
        <v>138</v>
      </c>
      <c r="C201" t="s">
        <v>776</v>
      </c>
      <c r="D201" t="s">
        <v>219</v>
      </c>
      <c r="E201">
        <v>1343</v>
      </c>
      <c r="F201" t="s">
        <v>1038</v>
      </c>
      <c r="G201" s="5">
        <v>23</v>
      </c>
      <c r="H201" s="8" t="s">
        <v>398</v>
      </c>
      <c r="J201" t="s">
        <v>1039</v>
      </c>
      <c r="K201" t="s">
        <v>3959</v>
      </c>
      <c r="Q201" t="s">
        <v>844</v>
      </c>
    </row>
    <row r="202" spans="1:17" x14ac:dyDescent="0.25">
      <c r="A202">
        <v>842</v>
      </c>
      <c r="B202" t="s">
        <v>50</v>
      </c>
      <c r="C202" t="s">
        <v>776</v>
      </c>
      <c r="D202" t="s">
        <v>219</v>
      </c>
      <c r="E202">
        <v>1343</v>
      </c>
      <c r="F202" t="s">
        <v>1038</v>
      </c>
      <c r="G202" s="5">
        <v>23</v>
      </c>
      <c r="H202" s="8" t="s">
        <v>398</v>
      </c>
      <c r="J202" t="s">
        <v>940</v>
      </c>
      <c r="K202" t="s">
        <v>1040</v>
      </c>
      <c r="L202" t="s">
        <v>1041</v>
      </c>
    </row>
    <row r="203" spans="1:17" x14ac:dyDescent="0.25">
      <c r="A203">
        <v>843</v>
      </c>
      <c r="B203" t="s">
        <v>465</v>
      </c>
      <c r="C203" t="s">
        <v>776</v>
      </c>
      <c r="D203" t="s">
        <v>219</v>
      </c>
      <c r="E203">
        <v>1343</v>
      </c>
      <c r="F203" t="s">
        <v>1038</v>
      </c>
      <c r="G203" s="5">
        <v>23</v>
      </c>
      <c r="H203" s="8" t="s">
        <v>398</v>
      </c>
      <c r="J203" t="s">
        <v>1039</v>
      </c>
      <c r="K203" t="s">
        <v>1043</v>
      </c>
      <c r="L203" t="s">
        <v>1044</v>
      </c>
      <c r="M203" t="s">
        <v>1045</v>
      </c>
    </row>
    <row r="204" spans="1:17" x14ac:dyDescent="0.25">
      <c r="A204">
        <v>851</v>
      </c>
      <c r="B204" t="s">
        <v>67</v>
      </c>
      <c r="C204" t="s">
        <v>776</v>
      </c>
      <c r="D204" t="s">
        <v>219</v>
      </c>
      <c r="E204">
        <v>1343</v>
      </c>
      <c r="F204" t="s">
        <v>1038</v>
      </c>
      <c r="G204" s="6" t="s">
        <v>15</v>
      </c>
      <c r="H204" s="8" t="s">
        <v>398</v>
      </c>
      <c r="J204" t="s">
        <v>940</v>
      </c>
      <c r="K204" t="s">
        <v>1050</v>
      </c>
      <c r="L204" t="s">
        <v>1051</v>
      </c>
      <c r="M204" t="s">
        <v>1057</v>
      </c>
    </row>
    <row r="205" spans="1:17" x14ac:dyDescent="0.25">
      <c r="A205">
        <v>852</v>
      </c>
      <c r="B205" t="s">
        <v>11</v>
      </c>
      <c r="C205" t="s">
        <v>776</v>
      </c>
      <c r="D205" t="s">
        <v>219</v>
      </c>
      <c r="E205">
        <v>1343</v>
      </c>
      <c r="F205" t="s">
        <v>1038</v>
      </c>
      <c r="G205" s="6" t="s">
        <v>15</v>
      </c>
      <c r="H205" s="8" t="s">
        <v>398</v>
      </c>
      <c r="J205" t="s">
        <v>1039</v>
      </c>
      <c r="K205" t="s">
        <v>1044</v>
      </c>
      <c r="L205" t="s">
        <v>1051</v>
      </c>
      <c r="M205" t="s">
        <v>1057</v>
      </c>
    </row>
    <row r="206" spans="1:17" x14ac:dyDescent="0.25">
      <c r="A206">
        <v>861</v>
      </c>
      <c r="B206" t="s">
        <v>19</v>
      </c>
      <c r="C206" t="s">
        <v>776</v>
      </c>
      <c r="D206" t="s">
        <v>219</v>
      </c>
      <c r="E206">
        <v>1343</v>
      </c>
      <c r="F206" t="s">
        <v>1038</v>
      </c>
      <c r="G206" s="9" t="s">
        <v>1059</v>
      </c>
      <c r="H206" s="8" t="s">
        <v>398</v>
      </c>
      <c r="J206" t="s">
        <v>1061</v>
      </c>
      <c r="K206" t="s">
        <v>1062</v>
      </c>
      <c r="L206" t="s">
        <v>1041</v>
      </c>
      <c r="M206" t="s">
        <v>1045</v>
      </c>
    </row>
    <row r="207" spans="1:17" x14ac:dyDescent="0.25">
      <c r="A207">
        <v>862</v>
      </c>
      <c r="B207" t="s">
        <v>11</v>
      </c>
      <c r="C207" t="s">
        <v>776</v>
      </c>
      <c r="D207" t="s">
        <v>219</v>
      </c>
      <c r="E207">
        <v>1343</v>
      </c>
      <c r="F207" t="s">
        <v>1038</v>
      </c>
      <c r="G207" s="9" t="s">
        <v>1059</v>
      </c>
      <c r="H207" t="s">
        <v>1683</v>
      </c>
      <c r="I207" s="5" t="s">
        <v>1068</v>
      </c>
      <c r="J207" t="s">
        <v>1039</v>
      </c>
      <c r="K207" t="s">
        <v>1069</v>
      </c>
      <c r="L207" t="s">
        <v>1070</v>
      </c>
    </row>
    <row r="208" spans="1:17" x14ac:dyDescent="0.25">
      <c r="A208">
        <v>862</v>
      </c>
      <c r="B208" t="s">
        <v>11</v>
      </c>
      <c r="C208" t="s">
        <v>776</v>
      </c>
      <c r="D208" t="s">
        <v>219</v>
      </c>
      <c r="E208">
        <v>1343</v>
      </c>
      <c r="F208" t="s">
        <v>1038</v>
      </c>
      <c r="G208" s="9" t="s">
        <v>1059</v>
      </c>
      <c r="H208" s="8" t="s">
        <v>398</v>
      </c>
      <c r="J208" t="s">
        <v>1028</v>
      </c>
      <c r="K208" t="s">
        <v>3938</v>
      </c>
      <c r="L208" t="s">
        <v>1071</v>
      </c>
    </row>
    <row r="209" spans="1:17" x14ac:dyDescent="0.25">
      <c r="A209">
        <v>862</v>
      </c>
      <c r="B209" t="s">
        <v>11</v>
      </c>
      <c r="C209" t="s">
        <v>776</v>
      </c>
      <c r="D209" t="s">
        <v>219</v>
      </c>
      <c r="E209">
        <v>1343</v>
      </c>
      <c r="F209" t="s">
        <v>1038</v>
      </c>
      <c r="G209" s="9" t="s">
        <v>1059</v>
      </c>
      <c r="H209" s="5" t="s">
        <v>679</v>
      </c>
      <c r="K209" t="s">
        <v>1072</v>
      </c>
      <c r="L209" t="s">
        <v>951</v>
      </c>
    </row>
    <row r="210" spans="1:17" x14ac:dyDescent="0.25">
      <c r="A210">
        <v>863</v>
      </c>
      <c r="B210" t="s">
        <v>1074</v>
      </c>
      <c r="C210" t="s">
        <v>776</v>
      </c>
      <c r="D210" t="s">
        <v>220</v>
      </c>
      <c r="E210">
        <v>1343</v>
      </c>
      <c r="F210" t="s">
        <v>1038</v>
      </c>
      <c r="G210" s="9" t="s">
        <v>1059</v>
      </c>
      <c r="H210" s="8" t="s">
        <v>398</v>
      </c>
      <c r="J210" t="s">
        <v>1039</v>
      </c>
      <c r="K210" t="s">
        <v>1076</v>
      </c>
      <c r="L210" t="s">
        <v>1077</v>
      </c>
    </row>
    <row r="211" spans="1:17" x14ac:dyDescent="0.25">
      <c r="A211">
        <v>863</v>
      </c>
      <c r="B211" t="s">
        <v>1074</v>
      </c>
      <c r="C211" t="s">
        <v>776</v>
      </c>
      <c r="D211" t="s">
        <v>220</v>
      </c>
      <c r="E211">
        <v>1343</v>
      </c>
      <c r="F211" t="s">
        <v>1038</v>
      </c>
      <c r="G211" s="9" t="s">
        <v>1059</v>
      </c>
      <c r="H211" s="5" t="s">
        <v>679</v>
      </c>
      <c r="J211" t="s">
        <v>1028</v>
      </c>
      <c r="K211" t="s">
        <v>1078</v>
      </c>
      <c r="L211" t="s">
        <v>1079</v>
      </c>
    </row>
    <row r="212" spans="1:17" x14ac:dyDescent="0.25">
      <c r="A212">
        <v>871</v>
      </c>
      <c r="B212" t="s">
        <v>465</v>
      </c>
      <c r="C212" t="s">
        <v>776</v>
      </c>
      <c r="D212" t="s">
        <v>219</v>
      </c>
      <c r="E212">
        <v>1343</v>
      </c>
      <c r="F212" t="s">
        <v>1082</v>
      </c>
      <c r="G212">
        <v>26</v>
      </c>
      <c r="H212" s="5" t="s">
        <v>1603</v>
      </c>
      <c r="I212" s="5" t="s">
        <v>3860</v>
      </c>
      <c r="J212" t="s">
        <v>1086</v>
      </c>
      <c r="K212" t="s">
        <v>1088</v>
      </c>
      <c r="L212" t="s">
        <v>608</v>
      </c>
      <c r="M212" t="s">
        <v>1089</v>
      </c>
      <c r="N212" t="s">
        <v>1090</v>
      </c>
      <c r="Q212" t="s">
        <v>1087</v>
      </c>
    </row>
    <row r="213" spans="1:17" x14ac:dyDescent="0.25">
      <c r="A213">
        <v>871</v>
      </c>
      <c r="B213" t="s">
        <v>465</v>
      </c>
      <c r="C213" t="s">
        <v>776</v>
      </c>
      <c r="D213" t="s">
        <v>219</v>
      </c>
      <c r="E213">
        <v>1343</v>
      </c>
      <c r="F213" t="s">
        <v>1082</v>
      </c>
      <c r="G213">
        <v>26</v>
      </c>
      <c r="H213" s="5" t="s">
        <v>1092</v>
      </c>
      <c r="Q213" t="s">
        <v>1093</v>
      </c>
    </row>
    <row r="214" spans="1:17" x14ac:dyDescent="0.25">
      <c r="A214">
        <v>873</v>
      </c>
      <c r="B214" t="s">
        <v>11</v>
      </c>
      <c r="C214" t="s">
        <v>776</v>
      </c>
      <c r="D214" t="s">
        <v>219</v>
      </c>
      <c r="E214">
        <v>1343</v>
      </c>
      <c r="F214" t="s">
        <v>1097</v>
      </c>
      <c r="G214">
        <v>31</v>
      </c>
      <c r="H214" s="8" t="s">
        <v>398</v>
      </c>
      <c r="I214" s="5" t="s">
        <v>1106</v>
      </c>
      <c r="K214" t="s">
        <v>1105</v>
      </c>
      <c r="L214" t="s">
        <v>1102</v>
      </c>
    </row>
    <row r="215" spans="1:17" x14ac:dyDescent="0.25">
      <c r="A215">
        <v>873</v>
      </c>
      <c r="B215" t="s">
        <v>11</v>
      </c>
      <c r="C215" t="s">
        <v>776</v>
      </c>
      <c r="D215" t="s">
        <v>219</v>
      </c>
      <c r="E215">
        <v>1343</v>
      </c>
      <c r="F215" t="s">
        <v>1097</v>
      </c>
      <c r="G215">
        <v>31</v>
      </c>
      <c r="H215" s="5" t="s">
        <v>488</v>
      </c>
      <c r="I215" s="5" t="s">
        <v>1108</v>
      </c>
      <c r="J215" t="s">
        <v>1107</v>
      </c>
      <c r="K215" t="s">
        <v>1109</v>
      </c>
      <c r="L215" t="s">
        <v>1110</v>
      </c>
    </row>
    <row r="216" spans="1:17" x14ac:dyDescent="0.25">
      <c r="A216">
        <v>873</v>
      </c>
      <c r="B216" t="s">
        <v>11</v>
      </c>
      <c r="C216" t="s">
        <v>776</v>
      </c>
      <c r="D216" t="s">
        <v>219</v>
      </c>
      <c r="E216">
        <v>1343</v>
      </c>
      <c r="F216" t="s">
        <v>1097</v>
      </c>
      <c r="G216">
        <v>31</v>
      </c>
      <c r="H216" s="5" t="s">
        <v>645</v>
      </c>
      <c r="J216" t="s">
        <v>1111</v>
      </c>
      <c r="K216" t="s">
        <v>1109</v>
      </c>
      <c r="L216" t="s">
        <v>957</v>
      </c>
    </row>
    <row r="217" spans="1:17" x14ac:dyDescent="0.25">
      <c r="A217">
        <v>873</v>
      </c>
      <c r="B217" t="s">
        <v>11</v>
      </c>
      <c r="C217" t="s">
        <v>776</v>
      </c>
      <c r="D217" t="s">
        <v>219</v>
      </c>
      <c r="E217">
        <v>1343</v>
      </c>
      <c r="F217" t="s">
        <v>1097</v>
      </c>
      <c r="G217">
        <v>31</v>
      </c>
      <c r="H217" s="8" t="s">
        <v>398</v>
      </c>
      <c r="J217" t="s">
        <v>1028</v>
      </c>
      <c r="K217" t="s">
        <v>1104</v>
      </c>
      <c r="L217" t="s">
        <v>1105</v>
      </c>
    </row>
    <row r="218" spans="1:17" x14ac:dyDescent="0.25">
      <c r="A218">
        <v>873</v>
      </c>
      <c r="B218" t="s">
        <v>11</v>
      </c>
      <c r="C218" t="s">
        <v>776</v>
      </c>
      <c r="D218" t="s">
        <v>219</v>
      </c>
      <c r="E218">
        <v>1343</v>
      </c>
      <c r="F218" t="s">
        <v>1097</v>
      </c>
      <c r="G218">
        <v>31</v>
      </c>
      <c r="H218" s="8" t="s">
        <v>398</v>
      </c>
      <c r="J218" t="s">
        <v>1101</v>
      </c>
      <c r="K218" t="s">
        <v>1102</v>
      </c>
      <c r="L218" t="s">
        <v>1103</v>
      </c>
    </row>
    <row r="219" spans="1:17" x14ac:dyDescent="0.25">
      <c r="A219">
        <v>873</v>
      </c>
      <c r="B219" t="s">
        <v>11</v>
      </c>
      <c r="C219" t="s">
        <v>776</v>
      </c>
      <c r="D219" t="s">
        <v>219</v>
      </c>
      <c r="E219">
        <v>1343</v>
      </c>
      <c r="F219" t="s">
        <v>1097</v>
      </c>
      <c r="G219">
        <v>31</v>
      </c>
      <c r="H219" s="5" t="s">
        <v>679</v>
      </c>
      <c r="K219" t="s">
        <v>1100</v>
      </c>
    </row>
    <row r="220" spans="1:17" x14ac:dyDescent="0.25">
      <c r="A220">
        <v>881</v>
      </c>
      <c r="B220" t="s">
        <v>3831</v>
      </c>
      <c r="C220" t="s">
        <v>68</v>
      </c>
      <c r="D220" t="s">
        <v>219</v>
      </c>
      <c r="E220">
        <v>1343</v>
      </c>
      <c r="F220" t="s">
        <v>1082</v>
      </c>
      <c r="G220">
        <v>30</v>
      </c>
      <c r="H220" s="5" t="s">
        <v>679</v>
      </c>
      <c r="J220" t="s">
        <v>1128</v>
      </c>
      <c r="Q220" t="s">
        <v>1127</v>
      </c>
    </row>
    <row r="221" spans="1:17" x14ac:dyDescent="0.25">
      <c r="A221">
        <v>881</v>
      </c>
      <c r="B221" t="s">
        <v>3831</v>
      </c>
      <c r="C221" t="s">
        <v>68</v>
      </c>
      <c r="D221" t="s">
        <v>219</v>
      </c>
      <c r="E221">
        <v>1343</v>
      </c>
      <c r="F221" t="s">
        <v>1082</v>
      </c>
      <c r="G221">
        <v>30</v>
      </c>
      <c r="H221" s="5" t="s">
        <v>833</v>
      </c>
      <c r="I221" s="5"/>
      <c r="J221" t="s">
        <v>1130</v>
      </c>
      <c r="K221" t="s">
        <v>514</v>
      </c>
      <c r="L221" t="s">
        <v>1131</v>
      </c>
      <c r="M221" t="s">
        <v>1132</v>
      </c>
    </row>
    <row r="222" spans="1:17" x14ac:dyDescent="0.25">
      <c r="A222">
        <v>881</v>
      </c>
      <c r="B222" t="s">
        <v>3831</v>
      </c>
      <c r="C222" t="s">
        <v>68</v>
      </c>
      <c r="D222" t="s">
        <v>219</v>
      </c>
      <c r="E222">
        <v>1343</v>
      </c>
      <c r="F222" t="s">
        <v>1082</v>
      </c>
      <c r="G222">
        <v>30</v>
      </c>
      <c r="H222" s="5" t="s">
        <v>721</v>
      </c>
      <c r="Q222" t="s">
        <v>1119</v>
      </c>
    </row>
    <row r="223" spans="1:17" x14ac:dyDescent="0.25">
      <c r="A223">
        <v>881</v>
      </c>
      <c r="B223" t="s">
        <v>3831</v>
      </c>
      <c r="C223" t="s">
        <v>68</v>
      </c>
      <c r="D223" t="s">
        <v>219</v>
      </c>
      <c r="E223">
        <v>1343</v>
      </c>
      <c r="F223" t="s">
        <v>1082</v>
      </c>
      <c r="G223">
        <v>30</v>
      </c>
      <c r="H223" s="5" t="s">
        <v>206</v>
      </c>
      <c r="Q223" t="s">
        <v>1119</v>
      </c>
    </row>
    <row r="224" spans="1:17" x14ac:dyDescent="0.25">
      <c r="A224">
        <v>881</v>
      </c>
      <c r="B224" t="s">
        <v>3831</v>
      </c>
      <c r="C224" t="s">
        <v>68</v>
      </c>
      <c r="D224" t="s">
        <v>219</v>
      </c>
      <c r="E224">
        <v>1343</v>
      </c>
      <c r="F224" t="s">
        <v>1082</v>
      </c>
      <c r="G224">
        <v>30</v>
      </c>
      <c r="H224" s="5" t="s">
        <v>721</v>
      </c>
      <c r="Q224" t="s">
        <v>1121</v>
      </c>
    </row>
    <row r="225" spans="1:17" x14ac:dyDescent="0.25">
      <c r="A225">
        <v>881</v>
      </c>
      <c r="B225" t="s">
        <v>3831</v>
      </c>
      <c r="C225" t="s">
        <v>68</v>
      </c>
      <c r="D225" t="s">
        <v>219</v>
      </c>
      <c r="E225">
        <v>1343</v>
      </c>
      <c r="F225" t="s">
        <v>1082</v>
      </c>
      <c r="G225">
        <v>30</v>
      </c>
      <c r="H225" s="5" t="s">
        <v>833</v>
      </c>
      <c r="Q225" t="s">
        <v>1121</v>
      </c>
    </row>
    <row r="226" spans="1:17" x14ac:dyDescent="0.25">
      <c r="A226">
        <v>881</v>
      </c>
      <c r="B226" t="s">
        <v>3831</v>
      </c>
      <c r="C226" t="s">
        <v>68</v>
      </c>
      <c r="D226" t="s">
        <v>219</v>
      </c>
      <c r="E226">
        <v>1343</v>
      </c>
      <c r="F226" t="s">
        <v>1082</v>
      </c>
      <c r="G226">
        <v>30</v>
      </c>
      <c r="H226" s="5" t="s">
        <v>721</v>
      </c>
      <c r="Q226" t="s">
        <v>1124</v>
      </c>
    </row>
    <row r="227" spans="1:17" x14ac:dyDescent="0.25">
      <c r="A227">
        <v>881</v>
      </c>
      <c r="B227" t="s">
        <v>3831</v>
      </c>
      <c r="C227" t="s">
        <v>68</v>
      </c>
      <c r="D227" t="s">
        <v>219</v>
      </c>
      <c r="E227">
        <v>1343</v>
      </c>
      <c r="F227" t="s">
        <v>1082</v>
      </c>
      <c r="G227">
        <v>30</v>
      </c>
      <c r="H227" s="5" t="s">
        <v>721</v>
      </c>
      <c r="Q227" t="s">
        <v>1125</v>
      </c>
    </row>
    <row r="228" spans="1:17" x14ac:dyDescent="0.25">
      <c r="A228">
        <v>891</v>
      </c>
      <c r="B228" t="s">
        <v>465</v>
      </c>
      <c r="C228" t="s">
        <v>1149</v>
      </c>
      <c r="D228" t="s">
        <v>219</v>
      </c>
      <c r="E228">
        <v>1443</v>
      </c>
      <c r="F228" t="s">
        <v>383</v>
      </c>
      <c r="G228">
        <v>16</v>
      </c>
      <c r="H228" s="5" t="s">
        <v>206</v>
      </c>
      <c r="I228" s="5" t="s">
        <v>1164</v>
      </c>
    </row>
    <row r="229" spans="1:17" x14ac:dyDescent="0.25">
      <c r="A229">
        <v>891</v>
      </c>
      <c r="B229" t="s">
        <v>465</v>
      </c>
      <c r="C229" t="s">
        <v>1149</v>
      </c>
      <c r="D229" t="s">
        <v>219</v>
      </c>
      <c r="E229">
        <v>1443</v>
      </c>
      <c r="F229" t="s">
        <v>383</v>
      </c>
      <c r="G229">
        <v>16</v>
      </c>
      <c r="H229" s="5" t="s">
        <v>679</v>
      </c>
      <c r="I229" s="5" t="s">
        <v>1164</v>
      </c>
    </row>
    <row r="230" spans="1:17" x14ac:dyDescent="0.25">
      <c r="A230">
        <v>891</v>
      </c>
      <c r="B230" t="s">
        <v>465</v>
      </c>
      <c r="C230" t="s">
        <v>1149</v>
      </c>
      <c r="D230" t="s">
        <v>219</v>
      </c>
      <c r="E230">
        <v>1443</v>
      </c>
      <c r="F230" t="s">
        <v>383</v>
      </c>
      <c r="G230">
        <v>16</v>
      </c>
      <c r="H230" s="5" t="s">
        <v>679</v>
      </c>
      <c r="I230" s="5" t="s">
        <v>1159</v>
      </c>
    </row>
    <row r="231" spans="1:17" x14ac:dyDescent="0.25">
      <c r="A231">
        <v>891</v>
      </c>
      <c r="B231" t="s">
        <v>465</v>
      </c>
      <c r="C231" t="s">
        <v>1149</v>
      </c>
      <c r="D231" t="s">
        <v>219</v>
      </c>
      <c r="E231">
        <v>1443</v>
      </c>
      <c r="F231" t="s">
        <v>383</v>
      </c>
      <c r="G231">
        <v>16</v>
      </c>
      <c r="H231" s="5" t="s">
        <v>1153</v>
      </c>
      <c r="I231" s="5" t="s">
        <v>1154</v>
      </c>
      <c r="K231" t="s">
        <v>1155</v>
      </c>
      <c r="L231" t="s">
        <v>1156</v>
      </c>
      <c r="M231" t="s">
        <v>1157</v>
      </c>
    </row>
    <row r="232" spans="1:17" x14ac:dyDescent="0.25">
      <c r="A232">
        <v>891</v>
      </c>
      <c r="B232" t="s">
        <v>465</v>
      </c>
      <c r="C232" t="s">
        <v>1149</v>
      </c>
      <c r="D232" t="s">
        <v>219</v>
      </c>
      <c r="E232">
        <v>1443</v>
      </c>
      <c r="F232" t="s">
        <v>383</v>
      </c>
      <c r="G232">
        <v>16</v>
      </c>
      <c r="H232" s="5" t="s">
        <v>540</v>
      </c>
      <c r="J232" t="s">
        <v>1151</v>
      </c>
    </row>
    <row r="233" spans="1:17" x14ac:dyDescent="0.25">
      <c r="A233">
        <v>891</v>
      </c>
      <c r="B233" t="s">
        <v>465</v>
      </c>
      <c r="C233" t="s">
        <v>1149</v>
      </c>
      <c r="D233" t="s">
        <v>219</v>
      </c>
      <c r="E233">
        <v>1443</v>
      </c>
      <c r="F233" t="s">
        <v>383</v>
      </c>
      <c r="G233">
        <v>16</v>
      </c>
      <c r="H233" s="5" t="s">
        <v>1150</v>
      </c>
      <c r="J233" t="s">
        <v>1151</v>
      </c>
    </row>
    <row r="234" spans="1:17" x14ac:dyDescent="0.25">
      <c r="A234">
        <v>891</v>
      </c>
      <c r="B234" t="s">
        <v>465</v>
      </c>
      <c r="C234" t="s">
        <v>1149</v>
      </c>
      <c r="D234" t="s">
        <v>219</v>
      </c>
      <c r="E234">
        <v>1443</v>
      </c>
      <c r="F234" t="s">
        <v>383</v>
      </c>
      <c r="G234">
        <v>16</v>
      </c>
      <c r="H234" s="5" t="s">
        <v>1160</v>
      </c>
      <c r="K234" t="s">
        <v>1161</v>
      </c>
    </row>
    <row r="235" spans="1:17" x14ac:dyDescent="0.25">
      <c r="A235">
        <v>891</v>
      </c>
      <c r="B235" t="s">
        <v>465</v>
      </c>
      <c r="C235" t="s">
        <v>1149</v>
      </c>
      <c r="D235" t="s">
        <v>219</v>
      </c>
      <c r="E235">
        <v>1443</v>
      </c>
      <c r="F235" t="s">
        <v>383</v>
      </c>
      <c r="G235">
        <v>16</v>
      </c>
      <c r="H235" s="5" t="s">
        <v>679</v>
      </c>
      <c r="K235" t="s">
        <v>1161</v>
      </c>
    </row>
    <row r="236" spans="1:17" x14ac:dyDescent="0.25">
      <c r="A236">
        <v>911</v>
      </c>
      <c r="B236" t="s">
        <v>465</v>
      </c>
      <c r="C236" t="s">
        <v>2653</v>
      </c>
      <c r="D236" t="s">
        <v>219</v>
      </c>
      <c r="E236">
        <v>1401</v>
      </c>
      <c r="F236" t="s">
        <v>1038</v>
      </c>
      <c r="G236">
        <v>8</v>
      </c>
      <c r="H236" s="5" t="s">
        <v>3883</v>
      </c>
      <c r="I236" s="5" t="s">
        <v>1189</v>
      </c>
    </row>
    <row r="237" spans="1:17" x14ac:dyDescent="0.25">
      <c r="A237">
        <v>911</v>
      </c>
      <c r="B237" t="s">
        <v>465</v>
      </c>
      <c r="C237" t="s">
        <v>2653</v>
      </c>
      <c r="D237" t="s">
        <v>219</v>
      </c>
      <c r="E237">
        <v>1401</v>
      </c>
      <c r="F237" t="s">
        <v>1038</v>
      </c>
      <c r="G237">
        <v>8</v>
      </c>
      <c r="H237" s="5" t="s">
        <v>389</v>
      </c>
      <c r="I237" s="5"/>
      <c r="J237" t="s">
        <v>1177</v>
      </c>
      <c r="K237" t="s">
        <v>1179</v>
      </c>
      <c r="L237" t="s">
        <v>1180</v>
      </c>
      <c r="M237" t="s">
        <v>1178</v>
      </c>
      <c r="N237" t="s">
        <v>1181</v>
      </c>
      <c r="O237" t="s">
        <v>1182</v>
      </c>
    </row>
    <row r="238" spans="1:17" x14ac:dyDescent="0.25">
      <c r="A238">
        <v>911</v>
      </c>
      <c r="B238" t="s">
        <v>465</v>
      </c>
      <c r="C238" t="s">
        <v>2653</v>
      </c>
      <c r="D238" t="s">
        <v>219</v>
      </c>
      <c r="E238">
        <v>1401</v>
      </c>
      <c r="F238" t="s">
        <v>1038</v>
      </c>
      <c r="G238">
        <v>8</v>
      </c>
      <c r="H238" s="5" t="s">
        <v>764</v>
      </c>
      <c r="J238" t="s">
        <v>1183</v>
      </c>
      <c r="K238" t="s">
        <v>1184</v>
      </c>
      <c r="L238" t="s">
        <v>1185</v>
      </c>
      <c r="M238" t="s">
        <v>1186</v>
      </c>
      <c r="N238" t="s">
        <v>1187</v>
      </c>
    </row>
    <row r="239" spans="1:17" x14ac:dyDescent="0.25">
      <c r="A239">
        <v>1031</v>
      </c>
      <c r="B239" t="s">
        <v>465</v>
      </c>
      <c r="C239" t="s">
        <v>1318</v>
      </c>
      <c r="D239" t="s">
        <v>219</v>
      </c>
      <c r="E239">
        <v>1343</v>
      </c>
      <c r="F239" t="s">
        <v>1321</v>
      </c>
      <c r="G239">
        <v>13</v>
      </c>
      <c r="H239" t="s">
        <v>1683</v>
      </c>
      <c r="I239" s="5" t="s">
        <v>1333</v>
      </c>
      <c r="Q239" t="s">
        <v>1334</v>
      </c>
    </row>
    <row r="240" spans="1:17" x14ac:dyDescent="0.25">
      <c r="A240">
        <v>1031</v>
      </c>
      <c r="B240" t="s">
        <v>465</v>
      </c>
      <c r="C240" t="s">
        <v>1318</v>
      </c>
      <c r="D240" t="s">
        <v>219</v>
      </c>
      <c r="E240">
        <v>1343</v>
      </c>
      <c r="F240" t="s">
        <v>1321</v>
      </c>
      <c r="G240">
        <v>13</v>
      </c>
      <c r="H240" s="5" t="s">
        <v>540</v>
      </c>
      <c r="J240" s="5" t="s">
        <v>1323</v>
      </c>
    </row>
    <row r="241" spans="1:17" x14ac:dyDescent="0.25">
      <c r="A241">
        <v>1031</v>
      </c>
      <c r="B241" t="s">
        <v>465</v>
      </c>
      <c r="C241" t="s">
        <v>1318</v>
      </c>
      <c r="D241" t="s">
        <v>219</v>
      </c>
      <c r="E241">
        <v>1343</v>
      </c>
      <c r="F241" t="s">
        <v>1321</v>
      </c>
      <c r="G241">
        <v>13</v>
      </c>
      <c r="H241" s="5" t="s">
        <v>469</v>
      </c>
      <c r="J241" s="5" t="s">
        <v>1324</v>
      </c>
    </row>
    <row r="242" spans="1:17" x14ac:dyDescent="0.25">
      <c r="A242">
        <v>1031</v>
      </c>
      <c r="B242" t="s">
        <v>465</v>
      </c>
      <c r="C242" t="s">
        <v>1318</v>
      </c>
      <c r="D242" t="s">
        <v>219</v>
      </c>
      <c r="E242">
        <v>1343</v>
      </c>
      <c r="F242" t="s">
        <v>1321</v>
      </c>
      <c r="G242">
        <v>13</v>
      </c>
      <c r="H242" s="5" t="s">
        <v>833</v>
      </c>
      <c r="J242" s="5" t="s">
        <v>1326</v>
      </c>
      <c r="K242" s="5" t="s">
        <v>1327</v>
      </c>
      <c r="L242" s="5" t="s">
        <v>1328</v>
      </c>
      <c r="M242" s="5" t="s">
        <v>1329</v>
      </c>
      <c r="N242" s="5" t="s">
        <v>1330</v>
      </c>
      <c r="O242" s="5" t="s">
        <v>1088</v>
      </c>
      <c r="P242" s="5"/>
    </row>
    <row r="243" spans="1:17" x14ac:dyDescent="0.25">
      <c r="A243">
        <v>1031</v>
      </c>
      <c r="B243" t="s">
        <v>465</v>
      </c>
      <c r="C243" t="s">
        <v>1318</v>
      </c>
      <c r="D243" t="s">
        <v>219</v>
      </c>
      <c r="E243">
        <v>1343</v>
      </c>
      <c r="F243" t="s">
        <v>1321</v>
      </c>
      <c r="G243">
        <v>13</v>
      </c>
      <c r="H243" s="5" t="s">
        <v>206</v>
      </c>
      <c r="Q243" t="s">
        <v>1331</v>
      </c>
    </row>
    <row r="244" spans="1:17" x14ac:dyDescent="0.25">
      <c r="A244">
        <v>1031</v>
      </c>
      <c r="B244" t="s">
        <v>465</v>
      </c>
      <c r="C244" t="s">
        <v>1318</v>
      </c>
      <c r="D244" t="s">
        <v>219</v>
      </c>
      <c r="E244">
        <v>1343</v>
      </c>
      <c r="F244" t="s">
        <v>1321</v>
      </c>
      <c r="G244">
        <v>13</v>
      </c>
      <c r="H244" s="5" t="s">
        <v>227</v>
      </c>
      <c r="Q244" t="s">
        <v>1331</v>
      </c>
    </row>
    <row r="245" spans="1:17" x14ac:dyDescent="0.25">
      <c r="A245">
        <v>1031</v>
      </c>
      <c r="B245" t="s">
        <v>465</v>
      </c>
      <c r="C245" t="s">
        <v>1318</v>
      </c>
      <c r="D245" t="s">
        <v>219</v>
      </c>
      <c r="E245">
        <v>1343</v>
      </c>
      <c r="F245" t="s">
        <v>1321</v>
      </c>
      <c r="G245">
        <v>13</v>
      </c>
      <c r="H245" s="5" t="s">
        <v>725</v>
      </c>
      <c r="I245" s="5"/>
      <c r="Q245" t="s">
        <v>1331</v>
      </c>
    </row>
    <row r="246" spans="1:17" x14ac:dyDescent="0.25">
      <c r="A246">
        <v>1051</v>
      </c>
      <c r="B246" t="s">
        <v>465</v>
      </c>
      <c r="C246" t="s">
        <v>1318</v>
      </c>
      <c r="D246" t="s">
        <v>219</v>
      </c>
      <c r="E246">
        <v>1343</v>
      </c>
      <c r="F246" t="s">
        <v>1321</v>
      </c>
      <c r="G246">
        <v>13</v>
      </c>
      <c r="H246" s="5" t="s">
        <v>389</v>
      </c>
      <c r="J246" t="s">
        <v>1341</v>
      </c>
    </row>
    <row r="247" spans="1:17" x14ac:dyDescent="0.25">
      <c r="A247">
        <v>1051</v>
      </c>
      <c r="B247" t="s">
        <v>465</v>
      </c>
      <c r="C247" t="s">
        <v>1318</v>
      </c>
      <c r="D247" t="s">
        <v>219</v>
      </c>
      <c r="E247">
        <v>1343</v>
      </c>
      <c r="F247" t="s">
        <v>1321</v>
      </c>
      <c r="G247">
        <v>13</v>
      </c>
      <c r="H247" s="5" t="s">
        <v>721</v>
      </c>
      <c r="Q247" t="s">
        <v>1344</v>
      </c>
    </row>
    <row r="248" spans="1:17" x14ac:dyDescent="0.25">
      <c r="A248">
        <v>1051</v>
      </c>
      <c r="B248" t="s">
        <v>465</v>
      </c>
      <c r="C248" t="s">
        <v>1318</v>
      </c>
      <c r="D248" t="s">
        <v>219</v>
      </c>
      <c r="E248">
        <v>1343</v>
      </c>
      <c r="F248" t="s">
        <v>1321</v>
      </c>
      <c r="G248">
        <v>13</v>
      </c>
      <c r="H248" s="5" t="s">
        <v>721</v>
      </c>
      <c r="Q248" t="s">
        <v>1345</v>
      </c>
    </row>
    <row r="249" spans="1:17" x14ac:dyDescent="0.25">
      <c r="A249">
        <v>1061</v>
      </c>
      <c r="B249" t="s">
        <v>23</v>
      </c>
      <c r="C249" t="s">
        <v>1318</v>
      </c>
      <c r="D249" t="s">
        <v>219</v>
      </c>
      <c r="E249">
        <v>1343</v>
      </c>
      <c r="F249" t="s">
        <v>1321</v>
      </c>
      <c r="G249">
        <v>13</v>
      </c>
      <c r="H249" s="5" t="s">
        <v>389</v>
      </c>
      <c r="J249" t="s">
        <v>1358</v>
      </c>
    </row>
    <row r="250" spans="1:17" x14ac:dyDescent="0.25">
      <c r="A250">
        <v>1062</v>
      </c>
      <c r="B250" t="s">
        <v>13</v>
      </c>
      <c r="C250" t="s">
        <v>1318</v>
      </c>
      <c r="D250" t="s">
        <v>219</v>
      </c>
      <c r="E250">
        <v>1360</v>
      </c>
      <c r="F250" t="s">
        <v>198</v>
      </c>
      <c r="G250">
        <v>24</v>
      </c>
      <c r="H250" t="s">
        <v>1683</v>
      </c>
      <c r="J250" t="s">
        <v>1365</v>
      </c>
      <c r="K250" t="s">
        <v>1366</v>
      </c>
      <c r="L250" t="s">
        <v>1367</v>
      </c>
      <c r="M250" t="s">
        <v>1368</v>
      </c>
    </row>
    <row r="251" spans="1:17" x14ac:dyDescent="0.25">
      <c r="A251">
        <v>1062</v>
      </c>
      <c r="B251" t="s">
        <v>13</v>
      </c>
      <c r="C251" t="s">
        <v>1318</v>
      </c>
      <c r="D251" t="s">
        <v>219</v>
      </c>
      <c r="E251">
        <v>1360</v>
      </c>
      <c r="F251" t="s">
        <v>198</v>
      </c>
      <c r="G251">
        <v>24</v>
      </c>
      <c r="H251" t="s">
        <v>1683</v>
      </c>
      <c r="Q251" t="s">
        <v>1369</v>
      </c>
    </row>
    <row r="252" spans="1:17" x14ac:dyDescent="0.25">
      <c r="A252">
        <v>1071</v>
      </c>
      <c r="B252" t="s">
        <v>1377</v>
      </c>
      <c r="C252" t="s">
        <v>1318</v>
      </c>
      <c r="D252" t="s">
        <v>219</v>
      </c>
      <c r="E252">
        <v>1343</v>
      </c>
      <c r="F252" t="s">
        <v>1321</v>
      </c>
      <c r="G252">
        <v>13</v>
      </c>
      <c r="H252" s="5" t="s">
        <v>725</v>
      </c>
      <c r="I252" s="5" t="s">
        <v>1385</v>
      </c>
      <c r="Q252" t="s">
        <v>1344</v>
      </c>
    </row>
    <row r="253" spans="1:17" x14ac:dyDescent="0.25">
      <c r="A253">
        <v>1071</v>
      </c>
      <c r="B253" t="s">
        <v>1377</v>
      </c>
      <c r="C253" t="s">
        <v>1318</v>
      </c>
      <c r="D253" t="s">
        <v>219</v>
      </c>
      <c r="E253">
        <v>1343</v>
      </c>
      <c r="F253" t="s">
        <v>1321</v>
      </c>
      <c r="G253">
        <v>13</v>
      </c>
      <c r="H253" s="5" t="s">
        <v>1382</v>
      </c>
      <c r="I253" s="5" t="s">
        <v>1383</v>
      </c>
      <c r="Q253" t="s">
        <v>1380</v>
      </c>
    </row>
    <row r="254" spans="1:17" x14ac:dyDescent="0.25">
      <c r="A254">
        <v>1071</v>
      </c>
      <c r="B254" t="s">
        <v>1377</v>
      </c>
      <c r="C254" t="s">
        <v>1318</v>
      </c>
      <c r="D254" t="s">
        <v>219</v>
      </c>
      <c r="E254">
        <v>1343</v>
      </c>
      <c r="F254" t="s">
        <v>1321</v>
      </c>
      <c r="G254">
        <v>13</v>
      </c>
      <c r="H254" s="5" t="s">
        <v>725</v>
      </c>
      <c r="J254" t="s">
        <v>1381</v>
      </c>
      <c r="Q254" t="s">
        <v>1380</v>
      </c>
    </row>
    <row r="255" spans="1:17" x14ac:dyDescent="0.25">
      <c r="A255">
        <v>1071</v>
      </c>
      <c r="B255" t="s">
        <v>1377</v>
      </c>
      <c r="C255" t="s">
        <v>1318</v>
      </c>
      <c r="D255" t="s">
        <v>219</v>
      </c>
      <c r="E255">
        <v>1343</v>
      </c>
      <c r="F255" t="s">
        <v>1321</v>
      </c>
      <c r="G255">
        <v>13</v>
      </c>
      <c r="H255" s="5" t="s">
        <v>540</v>
      </c>
      <c r="J255" t="s">
        <v>1323</v>
      </c>
    </row>
    <row r="256" spans="1:17" x14ac:dyDescent="0.25">
      <c r="A256">
        <v>1081</v>
      </c>
      <c r="B256" t="s">
        <v>465</v>
      </c>
      <c r="C256" t="s">
        <v>1318</v>
      </c>
      <c r="D256" t="s">
        <v>219</v>
      </c>
      <c r="E256">
        <v>1343</v>
      </c>
      <c r="F256" t="s">
        <v>383</v>
      </c>
      <c r="G256">
        <v>13</v>
      </c>
      <c r="H256" s="5" t="s">
        <v>389</v>
      </c>
      <c r="J256" t="s">
        <v>1341</v>
      </c>
    </row>
    <row r="257" spans="1:17" x14ac:dyDescent="0.25">
      <c r="A257">
        <v>1091</v>
      </c>
      <c r="B257" t="s">
        <v>13</v>
      </c>
      <c r="C257" t="s">
        <v>1318</v>
      </c>
      <c r="D257" t="s">
        <v>219</v>
      </c>
      <c r="E257">
        <v>1343</v>
      </c>
      <c r="F257" t="s">
        <v>383</v>
      </c>
      <c r="G257">
        <v>13</v>
      </c>
      <c r="H257" s="5" t="s">
        <v>540</v>
      </c>
      <c r="J257" t="s">
        <v>1395</v>
      </c>
    </row>
    <row r="258" spans="1:17" x14ac:dyDescent="0.25">
      <c r="A258">
        <v>1101</v>
      </c>
      <c r="B258" t="s">
        <v>19</v>
      </c>
      <c r="C258" t="s">
        <v>1318</v>
      </c>
      <c r="D258" t="s">
        <v>219</v>
      </c>
      <c r="E258">
        <v>1343</v>
      </c>
      <c r="F258" t="s">
        <v>383</v>
      </c>
      <c r="G258">
        <v>13</v>
      </c>
      <c r="H258" s="5" t="s">
        <v>1382</v>
      </c>
      <c r="I258" s="5" t="s">
        <v>1383</v>
      </c>
      <c r="Q258" t="s">
        <v>1401</v>
      </c>
    </row>
    <row r="259" spans="1:17" x14ac:dyDescent="0.25">
      <c r="A259">
        <v>1101</v>
      </c>
      <c r="B259" t="s">
        <v>19</v>
      </c>
      <c r="C259" t="s">
        <v>1318</v>
      </c>
      <c r="D259" t="s">
        <v>219</v>
      </c>
      <c r="E259">
        <v>1343</v>
      </c>
      <c r="F259" t="s">
        <v>383</v>
      </c>
      <c r="G259">
        <v>13</v>
      </c>
      <c r="H259" s="5" t="s">
        <v>389</v>
      </c>
      <c r="J259" t="s">
        <v>1341</v>
      </c>
    </row>
    <row r="260" spans="1:17" x14ac:dyDescent="0.25">
      <c r="A260">
        <v>1102</v>
      </c>
      <c r="B260" t="s">
        <v>11</v>
      </c>
      <c r="C260" t="s">
        <v>1455</v>
      </c>
      <c r="D260" t="s">
        <v>219</v>
      </c>
      <c r="E260">
        <v>1380</v>
      </c>
      <c r="F260" t="s">
        <v>1082</v>
      </c>
      <c r="G260">
        <v>8</v>
      </c>
      <c r="H260" s="5" t="s">
        <v>663</v>
      </c>
      <c r="J260" t="s">
        <v>1458</v>
      </c>
      <c r="K260" t="s">
        <v>1459</v>
      </c>
      <c r="L260" t="s">
        <v>1460</v>
      </c>
      <c r="M260" t="s">
        <v>1461</v>
      </c>
    </row>
    <row r="261" spans="1:17" x14ac:dyDescent="0.25">
      <c r="A261">
        <v>1112</v>
      </c>
      <c r="B261" t="s">
        <v>11</v>
      </c>
      <c r="C261" t="s">
        <v>1406</v>
      </c>
      <c r="D261" t="s">
        <v>219</v>
      </c>
      <c r="E261">
        <v>1343</v>
      </c>
      <c r="F261" t="s">
        <v>973</v>
      </c>
      <c r="G261" s="9" t="s">
        <v>1410</v>
      </c>
      <c r="H261" s="5" t="s">
        <v>645</v>
      </c>
      <c r="I261" s="5" t="s">
        <v>1415</v>
      </c>
      <c r="K261" t="s">
        <v>1416</v>
      </c>
    </row>
    <row r="262" spans="1:17" x14ac:dyDescent="0.25">
      <c r="A262">
        <v>1112</v>
      </c>
      <c r="B262" t="s">
        <v>11</v>
      </c>
      <c r="C262" t="s">
        <v>1406</v>
      </c>
      <c r="D262" t="s">
        <v>219</v>
      </c>
      <c r="E262">
        <v>1343</v>
      </c>
      <c r="F262" t="s">
        <v>973</v>
      </c>
      <c r="G262" s="9" t="s">
        <v>1410</v>
      </c>
      <c r="H262" s="8" t="s">
        <v>398</v>
      </c>
      <c r="I262" s="5" t="s">
        <v>1412</v>
      </c>
      <c r="K262" s="5" t="s">
        <v>1413</v>
      </c>
      <c r="L262" s="5" t="s">
        <v>1414</v>
      </c>
    </row>
    <row r="263" spans="1:17" x14ac:dyDescent="0.25">
      <c r="A263">
        <v>1112</v>
      </c>
      <c r="B263" t="s">
        <v>11</v>
      </c>
      <c r="C263" t="s">
        <v>1406</v>
      </c>
      <c r="D263" t="s">
        <v>219</v>
      </c>
      <c r="E263">
        <v>1343</v>
      </c>
      <c r="F263" t="s">
        <v>973</v>
      </c>
      <c r="G263" s="9" t="s">
        <v>1410</v>
      </c>
      <c r="H263" s="5" t="s">
        <v>645</v>
      </c>
      <c r="I263" s="5" t="s">
        <v>1417</v>
      </c>
      <c r="K263" t="s">
        <v>1418</v>
      </c>
      <c r="L263" t="s">
        <v>1419</v>
      </c>
    </row>
    <row r="264" spans="1:17" x14ac:dyDescent="0.25">
      <c r="A264">
        <v>1121</v>
      </c>
      <c r="B264" t="s">
        <v>1421</v>
      </c>
      <c r="C264" t="s">
        <v>1406</v>
      </c>
      <c r="D264" t="s">
        <v>219</v>
      </c>
      <c r="E264">
        <v>1343</v>
      </c>
      <c r="F264" t="s">
        <v>973</v>
      </c>
      <c r="G264">
        <v>29</v>
      </c>
      <c r="H264" s="5" t="s">
        <v>1153</v>
      </c>
      <c r="I264" s="5" t="s">
        <v>1424</v>
      </c>
      <c r="J264" s="5" t="s">
        <v>1425</v>
      </c>
      <c r="K264" s="5" t="s">
        <v>1426</v>
      </c>
      <c r="L264" s="5" t="s">
        <v>1427</v>
      </c>
      <c r="M264" s="5" t="s">
        <v>1428</v>
      </c>
    </row>
    <row r="265" spans="1:17" x14ac:dyDescent="0.25">
      <c r="A265">
        <v>1121</v>
      </c>
      <c r="B265" t="s">
        <v>1421</v>
      </c>
      <c r="C265" t="s">
        <v>1406</v>
      </c>
      <c r="D265" t="s">
        <v>219</v>
      </c>
      <c r="E265">
        <v>1343</v>
      </c>
      <c r="F265" t="s">
        <v>973</v>
      </c>
      <c r="G265">
        <v>29</v>
      </c>
      <c r="H265" s="5" t="s">
        <v>1153</v>
      </c>
      <c r="I265" s="5" t="s">
        <v>1429</v>
      </c>
      <c r="J265" s="5" t="s">
        <v>1425</v>
      </c>
      <c r="K265" s="5" t="s">
        <v>1430</v>
      </c>
      <c r="L265" s="5" t="s">
        <v>1430</v>
      </c>
      <c r="M265" s="5" t="s">
        <v>1431</v>
      </c>
    </row>
    <row r="266" spans="1:17" x14ac:dyDescent="0.25">
      <c r="A266">
        <v>1123</v>
      </c>
      <c r="B266" t="s">
        <v>1439</v>
      </c>
      <c r="C266" t="s">
        <v>1406</v>
      </c>
      <c r="D266" t="s">
        <v>219</v>
      </c>
      <c r="E266">
        <v>1343</v>
      </c>
      <c r="F266" t="s">
        <v>973</v>
      </c>
      <c r="G266">
        <v>29</v>
      </c>
      <c r="H266" s="5" t="s">
        <v>398</v>
      </c>
      <c r="Q266" t="s">
        <v>1441</v>
      </c>
    </row>
    <row r="267" spans="1:17" x14ac:dyDescent="0.25">
      <c r="A267">
        <v>1141</v>
      </c>
      <c r="B267" t="s">
        <v>138</v>
      </c>
      <c r="C267" t="s">
        <v>1462</v>
      </c>
      <c r="D267" t="s">
        <v>219</v>
      </c>
      <c r="E267">
        <v>1343</v>
      </c>
      <c r="F267" t="s">
        <v>1038</v>
      </c>
      <c r="G267">
        <v>13</v>
      </c>
      <c r="H267" s="8" t="s">
        <v>398</v>
      </c>
      <c r="J267" t="s">
        <v>1039</v>
      </c>
      <c r="K267" t="s">
        <v>1044</v>
      </c>
      <c r="L267" t="s">
        <v>1464</v>
      </c>
    </row>
    <row r="268" spans="1:17" x14ac:dyDescent="0.25">
      <c r="A268">
        <v>1142</v>
      </c>
      <c r="B268" t="s">
        <v>47</v>
      </c>
      <c r="C268" t="s">
        <v>1467</v>
      </c>
      <c r="D268" t="s">
        <v>219</v>
      </c>
      <c r="E268">
        <v>1343</v>
      </c>
      <c r="F268" t="s">
        <v>1097</v>
      </c>
      <c r="G268">
        <v>1</v>
      </c>
      <c r="H268" s="5" t="s">
        <v>1468</v>
      </c>
      <c r="J268" t="s">
        <v>1471</v>
      </c>
      <c r="K268" t="s">
        <v>1469</v>
      </c>
      <c r="L268" t="s">
        <v>1470</v>
      </c>
    </row>
    <row r="269" spans="1:17" x14ac:dyDescent="0.25">
      <c r="A269">
        <v>1142</v>
      </c>
      <c r="B269" t="s">
        <v>47</v>
      </c>
      <c r="C269" t="s">
        <v>1467</v>
      </c>
      <c r="D269" t="s">
        <v>219</v>
      </c>
      <c r="E269">
        <v>1343</v>
      </c>
      <c r="F269" t="s">
        <v>1097</v>
      </c>
      <c r="G269">
        <v>1</v>
      </c>
      <c r="H269" s="8" t="s">
        <v>398</v>
      </c>
      <c r="J269" t="s">
        <v>1479</v>
      </c>
      <c r="K269" t="s">
        <v>1480</v>
      </c>
      <c r="L269" t="s">
        <v>1481</v>
      </c>
    </row>
    <row r="270" spans="1:17" x14ac:dyDescent="0.25">
      <c r="A270">
        <v>1151</v>
      </c>
      <c r="B270" t="s">
        <v>465</v>
      </c>
      <c r="C270" t="s">
        <v>1520</v>
      </c>
      <c r="D270" t="s">
        <v>219</v>
      </c>
      <c r="E270">
        <v>1343</v>
      </c>
      <c r="F270" t="s">
        <v>1097</v>
      </c>
      <c r="G270">
        <v>5</v>
      </c>
      <c r="H270" s="5" t="s">
        <v>645</v>
      </c>
      <c r="I270" s="5" t="s">
        <v>1504</v>
      </c>
      <c r="K270" s="5" t="s">
        <v>1496</v>
      </c>
      <c r="L270" s="5" t="s">
        <v>1505</v>
      </c>
    </row>
    <row r="271" spans="1:17" x14ac:dyDescent="0.25">
      <c r="A271">
        <v>1151</v>
      </c>
      <c r="B271" t="s">
        <v>465</v>
      </c>
      <c r="C271" t="s">
        <v>1520</v>
      </c>
      <c r="D271" t="s">
        <v>219</v>
      </c>
      <c r="E271">
        <v>1343</v>
      </c>
      <c r="F271" t="s">
        <v>1097</v>
      </c>
      <c r="G271">
        <v>5</v>
      </c>
      <c r="H271" s="5" t="s">
        <v>645</v>
      </c>
      <c r="I271" s="5" t="s">
        <v>1506</v>
      </c>
      <c r="K271" s="5" t="s">
        <v>1507</v>
      </c>
      <c r="L271" s="5" t="s">
        <v>1508</v>
      </c>
    </row>
    <row r="272" spans="1:17" x14ac:dyDescent="0.25">
      <c r="A272">
        <v>1151</v>
      </c>
      <c r="B272" t="s">
        <v>465</v>
      </c>
      <c r="C272" t="s">
        <v>1520</v>
      </c>
      <c r="D272" t="s">
        <v>219</v>
      </c>
      <c r="E272">
        <v>1343</v>
      </c>
      <c r="F272" t="s">
        <v>1097</v>
      </c>
      <c r="G272">
        <v>5</v>
      </c>
      <c r="H272" s="5" t="s">
        <v>679</v>
      </c>
      <c r="I272" s="5" t="s">
        <v>1525</v>
      </c>
    </row>
    <row r="273" spans="1:12" x14ac:dyDescent="0.25">
      <c r="A273">
        <v>1151</v>
      </c>
      <c r="B273" t="s">
        <v>465</v>
      </c>
      <c r="C273" t="s">
        <v>1520</v>
      </c>
      <c r="D273" t="s">
        <v>219</v>
      </c>
      <c r="E273">
        <v>1343</v>
      </c>
      <c r="F273" t="s">
        <v>1097</v>
      </c>
      <c r="G273">
        <v>5</v>
      </c>
      <c r="H273" s="8" t="s">
        <v>398</v>
      </c>
      <c r="I273" s="5" t="s">
        <v>1525</v>
      </c>
    </row>
    <row r="274" spans="1:12" x14ac:dyDescent="0.25">
      <c r="A274">
        <v>1151</v>
      </c>
      <c r="B274" t="s">
        <v>465</v>
      </c>
      <c r="C274" t="s">
        <v>1520</v>
      </c>
      <c r="D274" t="s">
        <v>219</v>
      </c>
      <c r="E274">
        <v>1343</v>
      </c>
      <c r="F274" t="s">
        <v>1097</v>
      </c>
      <c r="G274">
        <v>5</v>
      </c>
      <c r="H274" s="5" t="s">
        <v>645</v>
      </c>
      <c r="I274" s="5" t="s">
        <v>1494</v>
      </c>
      <c r="K274" s="5" t="s">
        <v>1495</v>
      </c>
      <c r="L274" s="5" t="s">
        <v>1496</v>
      </c>
    </row>
    <row r="275" spans="1:12" x14ac:dyDescent="0.25">
      <c r="A275">
        <v>1151</v>
      </c>
      <c r="B275" t="s">
        <v>465</v>
      </c>
      <c r="C275" t="s">
        <v>1520</v>
      </c>
      <c r="D275" t="s">
        <v>219</v>
      </c>
      <c r="E275">
        <v>1343</v>
      </c>
      <c r="F275" t="s">
        <v>1097</v>
      </c>
      <c r="G275">
        <v>5</v>
      </c>
      <c r="H275" s="5" t="s">
        <v>645</v>
      </c>
      <c r="I275" s="5" t="s">
        <v>1491</v>
      </c>
      <c r="K275" s="5" t="s">
        <v>1492</v>
      </c>
      <c r="L275" s="5" t="s">
        <v>1493</v>
      </c>
    </row>
    <row r="276" spans="1:12" x14ac:dyDescent="0.25">
      <c r="A276">
        <v>1151</v>
      </c>
      <c r="B276" t="s">
        <v>465</v>
      </c>
      <c r="C276" t="s">
        <v>1520</v>
      </c>
      <c r="D276" t="s">
        <v>219</v>
      </c>
      <c r="E276">
        <v>1343</v>
      </c>
      <c r="F276" t="s">
        <v>1097</v>
      </c>
      <c r="G276">
        <v>5</v>
      </c>
      <c r="H276" s="8" t="s">
        <v>398</v>
      </c>
      <c r="I276" s="5" t="s">
        <v>1521</v>
      </c>
      <c r="K276" s="5" t="s">
        <v>1522</v>
      </c>
    </row>
    <row r="277" spans="1:12" x14ac:dyDescent="0.25">
      <c r="A277">
        <v>1151</v>
      </c>
      <c r="B277" t="s">
        <v>465</v>
      </c>
      <c r="C277" t="s">
        <v>1520</v>
      </c>
      <c r="D277" t="s">
        <v>219</v>
      </c>
      <c r="E277">
        <v>1343</v>
      </c>
      <c r="F277" t="s">
        <v>1097</v>
      </c>
      <c r="G277">
        <v>5</v>
      </c>
      <c r="H277" s="8" t="s">
        <v>398</v>
      </c>
      <c r="I277" s="5" t="s">
        <v>1521</v>
      </c>
      <c r="K277" s="5" t="s">
        <v>1496</v>
      </c>
    </row>
    <row r="278" spans="1:12" x14ac:dyDescent="0.25">
      <c r="A278">
        <v>1151</v>
      </c>
      <c r="B278" t="s">
        <v>465</v>
      </c>
      <c r="C278" t="s">
        <v>1520</v>
      </c>
      <c r="D278" t="s">
        <v>219</v>
      </c>
      <c r="E278">
        <v>1343</v>
      </c>
      <c r="F278" t="s">
        <v>1097</v>
      </c>
      <c r="G278">
        <v>5</v>
      </c>
      <c r="H278" s="5" t="s">
        <v>645</v>
      </c>
      <c r="I278" s="5" t="s">
        <v>1516</v>
      </c>
      <c r="K278" s="5" t="s">
        <v>1517</v>
      </c>
      <c r="L278" s="5" t="s">
        <v>1517</v>
      </c>
    </row>
    <row r="279" spans="1:12" x14ac:dyDescent="0.25">
      <c r="A279">
        <v>1151</v>
      </c>
      <c r="B279" t="s">
        <v>465</v>
      </c>
      <c r="C279" t="s">
        <v>1520</v>
      </c>
      <c r="D279" t="s">
        <v>219</v>
      </c>
      <c r="E279">
        <v>1343</v>
      </c>
      <c r="F279" t="s">
        <v>1097</v>
      </c>
      <c r="G279">
        <v>5</v>
      </c>
      <c r="H279" s="5" t="s">
        <v>1500</v>
      </c>
      <c r="I279" s="5" t="s">
        <v>1501</v>
      </c>
      <c r="K279" s="5" t="s">
        <v>1502</v>
      </c>
      <c r="L279" s="5" t="s">
        <v>1503</v>
      </c>
    </row>
    <row r="280" spans="1:12" x14ac:dyDescent="0.25">
      <c r="A280">
        <v>1151</v>
      </c>
      <c r="B280" t="s">
        <v>465</v>
      </c>
      <c r="C280" t="s">
        <v>1520</v>
      </c>
      <c r="D280" t="s">
        <v>219</v>
      </c>
      <c r="E280">
        <v>1343</v>
      </c>
      <c r="F280" t="s">
        <v>1097</v>
      </c>
      <c r="G280">
        <v>5</v>
      </c>
      <c r="H280" s="5" t="s">
        <v>645</v>
      </c>
      <c r="I280" s="5" t="s">
        <v>1497</v>
      </c>
      <c r="K280" s="5" t="s">
        <v>1498</v>
      </c>
      <c r="L280" s="5" t="s">
        <v>1499</v>
      </c>
    </row>
    <row r="281" spans="1:12" x14ac:dyDescent="0.25">
      <c r="A281">
        <v>1151</v>
      </c>
      <c r="B281" t="s">
        <v>465</v>
      </c>
      <c r="C281" t="s">
        <v>1520</v>
      </c>
      <c r="D281" t="s">
        <v>219</v>
      </c>
      <c r="E281">
        <v>1343</v>
      </c>
      <c r="F281" t="s">
        <v>1097</v>
      </c>
      <c r="G281">
        <v>5</v>
      </c>
      <c r="H281" s="5" t="s">
        <v>389</v>
      </c>
      <c r="J281" t="s">
        <v>1488</v>
      </c>
      <c r="K281" t="s">
        <v>1490</v>
      </c>
    </row>
    <row r="282" spans="1:12" x14ac:dyDescent="0.25">
      <c r="A282">
        <v>1151</v>
      </c>
      <c r="B282" t="s">
        <v>465</v>
      </c>
      <c r="C282" t="s">
        <v>1520</v>
      </c>
      <c r="D282" t="s">
        <v>219</v>
      </c>
      <c r="E282">
        <v>1343</v>
      </c>
      <c r="F282" t="s">
        <v>1097</v>
      </c>
      <c r="G282">
        <v>5</v>
      </c>
      <c r="H282" s="5" t="s">
        <v>645</v>
      </c>
      <c r="J282" t="s">
        <v>1509</v>
      </c>
      <c r="K282" s="5" t="s">
        <v>1510</v>
      </c>
      <c r="L282" s="5" t="s">
        <v>1511</v>
      </c>
    </row>
    <row r="283" spans="1:12" x14ac:dyDescent="0.25">
      <c r="A283">
        <v>1151</v>
      </c>
      <c r="B283" t="s">
        <v>465</v>
      </c>
      <c r="C283" t="s">
        <v>1520</v>
      </c>
      <c r="D283" t="s">
        <v>219</v>
      </c>
      <c r="E283">
        <v>1343</v>
      </c>
      <c r="F283" t="s">
        <v>1097</v>
      </c>
      <c r="G283">
        <v>5</v>
      </c>
      <c r="H283" s="5" t="s">
        <v>645</v>
      </c>
      <c r="J283" t="s">
        <v>1509</v>
      </c>
      <c r="K283" s="5" t="s">
        <v>1496</v>
      </c>
      <c r="L283" s="5" t="s">
        <v>1512</v>
      </c>
    </row>
    <row r="284" spans="1:12" x14ac:dyDescent="0.25">
      <c r="A284">
        <v>1151</v>
      </c>
      <c r="B284" t="s">
        <v>465</v>
      </c>
      <c r="C284" t="s">
        <v>1520</v>
      </c>
      <c r="D284" t="s">
        <v>219</v>
      </c>
      <c r="E284">
        <v>1343</v>
      </c>
      <c r="F284" t="s">
        <v>1097</v>
      </c>
      <c r="G284">
        <v>5</v>
      </c>
      <c r="H284" s="5" t="s">
        <v>645</v>
      </c>
      <c r="J284" t="s">
        <v>1513</v>
      </c>
      <c r="K284" s="5" t="s">
        <v>1514</v>
      </c>
      <c r="L284" s="5" t="s">
        <v>1515</v>
      </c>
    </row>
    <row r="285" spans="1:12" x14ac:dyDescent="0.25">
      <c r="A285">
        <v>1151</v>
      </c>
      <c r="B285" t="s">
        <v>465</v>
      </c>
      <c r="C285" t="s">
        <v>1520</v>
      </c>
      <c r="D285" t="s">
        <v>219</v>
      </c>
      <c r="E285">
        <v>1343</v>
      </c>
      <c r="F285" t="s">
        <v>1097</v>
      </c>
      <c r="G285">
        <v>5</v>
      </c>
      <c r="H285" s="5" t="s">
        <v>488</v>
      </c>
      <c r="I285" s="5"/>
      <c r="J285" t="s">
        <v>1487</v>
      </c>
      <c r="K285" t="s">
        <v>1489</v>
      </c>
    </row>
    <row r="286" spans="1:12" x14ac:dyDescent="0.25">
      <c r="A286">
        <v>1151</v>
      </c>
      <c r="B286" t="s">
        <v>465</v>
      </c>
      <c r="C286" t="s">
        <v>1520</v>
      </c>
      <c r="D286" t="s">
        <v>219</v>
      </c>
      <c r="E286">
        <v>1343</v>
      </c>
      <c r="F286" t="s">
        <v>1097</v>
      </c>
      <c r="G286">
        <v>5</v>
      </c>
      <c r="H286" s="8" t="s">
        <v>398</v>
      </c>
      <c r="J286" s="22" t="s">
        <v>1524</v>
      </c>
      <c r="K286" s="5" t="s">
        <v>1523</v>
      </c>
    </row>
    <row r="287" spans="1:12" x14ac:dyDescent="0.25">
      <c r="A287">
        <v>1151</v>
      </c>
      <c r="B287" t="s">
        <v>465</v>
      </c>
      <c r="C287" t="s">
        <v>1520</v>
      </c>
      <c r="D287" t="s">
        <v>219</v>
      </c>
      <c r="E287">
        <v>1343</v>
      </c>
      <c r="F287" t="s">
        <v>1097</v>
      </c>
      <c r="G287">
        <v>5</v>
      </c>
      <c r="H287" s="8" t="s">
        <v>398</v>
      </c>
      <c r="K287" s="5" t="s">
        <v>1523</v>
      </c>
    </row>
    <row r="288" spans="1:12" x14ac:dyDescent="0.25">
      <c r="A288">
        <v>1161</v>
      </c>
      <c r="B288" t="s">
        <v>1529</v>
      </c>
      <c r="C288" t="s">
        <v>1520</v>
      </c>
      <c r="D288" t="s">
        <v>219</v>
      </c>
      <c r="E288">
        <v>1343</v>
      </c>
      <c r="F288" t="s">
        <v>1097</v>
      </c>
      <c r="G288">
        <v>5</v>
      </c>
      <c r="H288" s="5" t="s">
        <v>645</v>
      </c>
      <c r="I288" s="5" t="s">
        <v>1536</v>
      </c>
    </row>
    <row r="289" spans="1:13" x14ac:dyDescent="0.25">
      <c r="A289">
        <v>1161</v>
      </c>
      <c r="B289" t="s">
        <v>1529</v>
      </c>
      <c r="C289" t="s">
        <v>1520</v>
      </c>
      <c r="D289" t="s">
        <v>219</v>
      </c>
      <c r="E289">
        <v>1343</v>
      </c>
      <c r="F289" t="s">
        <v>1097</v>
      </c>
      <c r="G289">
        <v>5</v>
      </c>
      <c r="H289" s="5" t="s">
        <v>679</v>
      </c>
      <c r="I289" s="5" t="s">
        <v>1555</v>
      </c>
      <c r="J289" s="5" t="s">
        <v>1556</v>
      </c>
    </row>
    <row r="290" spans="1:13" x14ac:dyDescent="0.25">
      <c r="A290">
        <v>1161</v>
      </c>
      <c r="B290" t="s">
        <v>1529</v>
      </c>
      <c r="C290" t="s">
        <v>1520</v>
      </c>
      <c r="D290" t="s">
        <v>219</v>
      </c>
      <c r="E290">
        <v>1343</v>
      </c>
      <c r="F290" t="s">
        <v>1097</v>
      </c>
      <c r="G290">
        <v>5</v>
      </c>
      <c r="H290" s="5" t="s">
        <v>645</v>
      </c>
      <c r="I290" s="5" t="s">
        <v>1541</v>
      </c>
    </row>
    <row r="291" spans="1:13" x14ac:dyDescent="0.25">
      <c r="A291">
        <v>1161</v>
      </c>
      <c r="B291" t="s">
        <v>1529</v>
      </c>
      <c r="C291" t="s">
        <v>1520</v>
      </c>
      <c r="D291" t="s">
        <v>219</v>
      </c>
      <c r="E291">
        <v>1343</v>
      </c>
      <c r="F291" t="s">
        <v>1097</v>
      </c>
      <c r="G291">
        <v>5</v>
      </c>
      <c r="H291" s="8" t="s">
        <v>417</v>
      </c>
      <c r="I291" s="5" t="s">
        <v>1557</v>
      </c>
      <c r="J291" s="5" t="s">
        <v>1558</v>
      </c>
    </row>
    <row r="292" spans="1:13" x14ac:dyDescent="0.25">
      <c r="A292">
        <v>1161</v>
      </c>
      <c r="B292" t="s">
        <v>1529</v>
      </c>
      <c r="C292" t="s">
        <v>1520</v>
      </c>
      <c r="D292" t="s">
        <v>219</v>
      </c>
      <c r="E292">
        <v>1343</v>
      </c>
      <c r="F292" t="s">
        <v>1097</v>
      </c>
      <c r="G292">
        <v>5</v>
      </c>
      <c r="H292" s="5" t="s">
        <v>645</v>
      </c>
      <c r="I292" s="5" t="s">
        <v>1538</v>
      </c>
    </row>
    <row r="293" spans="1:13" x14ac:dyDescent="0.25">
      <c r="A293">
        <v>1161</v>
      </c>
      <c r="B293" t="s">
        <v>1529</v>
      </c>
      <c r="C293" t="s">
        <v>1520</v>
      </c>
      <c r="D293" t="s">
        <v>219</v>
      </c>
      <c r="E293">
        <v>1343</v>
      </c>
      <c r="F293" t="s">
        <v>1097</v>
      </c>
      <c r="G293">
        <v>5</v>
      </c>
      <c r="H293" s="5" t="s">
        <v>679</v>
      </c>
      <c r="I293" s="5" t="s">
        <v>1553</v>
      </c>
      <c r="J293" s="5" t="s">
        <v>1554</v>
      </c>
    </row>
    <row r="294" spans="1:13" x14ac:dyDescent="0.25">
      <c r="A294">
        <v>1161</v>
      </c>
      <c r="B294" t="s">
        <v>1529</v>
      </c>
      <c r="C294" t="s">
        <v>1520</v>
      </c>
      <c r="D294" t="s">
        <v>219</v>
      </c>
      <c r="E294">
        <v>1343</v>
      </c>
      <c r="F294" t="s">
        <v>1097</v>
      </c>
      <c r="G294">
        <v>5</v>
      </c>
      <c r="H294" s="5" t="s">
        <v>645</v>
      </c>
      <c r="I294" s="5" t="s">
        <v>1537</v>
      </c>
    </row>
    <row r="295" spans="1:13" x14ac:dyDescent="0.25">
      <c r="A295">
        <v>1161</v>
      </c>
      <c r="B295" t="s">
        <v>1529</v>
      </c>
      <c r="C295" t="s">
        <v>1520</v>
      </c>
      <c r="D295" t="s">
        <v>219</v>
      </c>
      <c r="E295">
        <v>1343</v>
      </c>
      <c r="F295" t="s">
        <v>1097</v>
      </c>
      <c r="G295">
        <v>5</v>
      </c>
      <c r="H295" s="5" t="s">
        <v>645</v>
      </c>
      <c r="I295" s="5" t="s">
        <v>1539</v>
      </c>
    </row>
    <row r="296" spans="1:13" x14ac:dyDescent="0.25">
      <c r="A296">
        <v>1161</v>
      </c>
      <c r="B296" t="s">
        <v>1529</v>
      </c>
      <c r="C296" t="s">
        <v>1520</v>
      </c>
      <c r="D296" t="s">
        <v>219</v>
      </c>
      <c r="E296">
        <v>1343</v>
      </c>
      <c r="F296" t="s">
        <v>1097</v>
      </c>
      <c r="G296">
        <v>5</v>
      </c>
      <c r="H296" s="5" t="s">
        <v>645</v>
      </c>
      <c r="I296" s="5" t="s">
        <v>1540</v>
      </c>
    </row>
    <row r="297" spans="1:13" x14ac:dyDescent="0.25">
      <c r="A297">
        <v>1161</v>
      </c>
      <c r="B297" t="s">
        <v>1529</v>
      </c>
      <c r="C297" t="s">
        <v>1520</v>
      </c>
      <c r="D297" t="s">
        <v>219</v>
      </c>
      <c r="E297">
        <v>1343</v>
      </c>
      <c r="F297" t="s">
        <v>1097</v>
      </c>
      <c r="G297">
        <v>5</v>
      </c>
      <c r="H297" s="8" t="s">
        <v>398</v>
      </c>
      <c r="I297" s="5" t="s">
        <v>1551</v>
      </c>
    </row>
    <row r="298" spans="1:13" x14ac:dyDescent="0.25">
      <c r="A298">
        <v>1161</v>
      </c>
      <c r="B298" t="s">
        <v>1529</v>
      </c>
      <c r="C298" t="s">
        <v>1520</v>
      </c>
      <c r="D298" t="s">
        <v>219</v>
      </c>
      <c r="E298">
        <v>1343</v>
      </c>
      <c r="F298" t="s">
        <v>1097</v>
      </c>
      <c r="G298">
        <v>5</v>
      </c>
      <c r="H298" s="5" t="s">
        <v>645</v>
      </c>
      <c r="I298" s="5" t="s">
        <v>1497</v>
      </c>
    </row>
    <row r="299" spans="1:13" x14ac:dyDescent="0.25">
      <c r="A299">
        <v>1161</v>
      </c>
      <c r="B299" t="s">
        <v>1529</v>
      </c>
      <c r="C299" t="s">
        <v>1520</v>
      </c>
      <c r="D299" t="s">
        <v>219</v>
      </c>
      <c r="E299">
        <v>1343</v>
      </c>
      <c r="F299" t="s">
        <v>1097</v>
      </c>
      <c r="G299">
        <v>5</v>
      </c>
      <c r="H299" s="5" t="s">
        <v>645</v>
      </c>
      <c r="I299" s="5" t="s">
        <v>1544</v>
      </c>
      <c r="J299" t="s">
        <v>1543</v>
      </c>
    </row>
    <row r="300" spans="1:13" x14ac:dyDescent="0.25">
      <c r="A300">
        <v>1161</v>
      </c>
      <c r="B300" t="s">
        <v>1529</v>
      </c>
      <c r="C300" t="s">
        <v>1520</v>
      </c>
      <c r="D300" t="s">
        <v>219</v>
      </c>
      <c r="E300">
        <v>1343</v>
      </c>
      <c r="F300" t="s">
        <v>1097</v>
      </c>
      <c r="G300">
        <v>5</v>
      </c>
      <c r="H300" s="8" t="s">
        <v>398</v>
      </c>
      <c r="J300" t="s">
        <v>1552</v>
      </c>
    </row>
    <row r="301" spans="1:13" x14ac:dyDescent="0.25">
      <c r="A301">
        <v>1161</v>
      </c>
      <c r="B301" t="s">
        <v>1529</v>
      </c>
      <c r="C301" t="s">
        <v>1520</v>
      </c>
      <c r="D301" t="s">
        <v>219</v>
      </c>
      <c r="E301">
        <v>1343</v>
      </c>
      <c r="F301" t="s">
        <v>1097</v>
      </c>
      <c r="G301">
        <v>5</v>
      </c>
      <c r="H301" s="5" t="s">
        <v>1545</v>
      </c>
      <c r="J301" t="s">
        <v>1546</v>
      </c>
      <c r="K301" t="s">
        <v>1547</v>
      </c>
      <c r="L301" t="s">
        <v>1548</v>
      </c>
      <c r="M301" t="s">
        <v>1549</v>
      </c>
    </row>
    <row r="302" spans="1:13" x14ac:dyDescent="0.25">
      <c r="A302">
        <v>1161</v>
      </c>
      <c r="B302" t="s">
        <v>1529</v>
      </c>
      <c r="C302" t="s">
        <v>1520</v>
      </c>
      <c r="D302" t="s">
        <v>219</v>
      </c>
      <c r="E302">
        <v>1343</v>
      </c>
      <c r="F302" t="s">
        <v>1097</v>
      </c>
      <c r="G302">
        <v>5</v>
      </c>
      <c r="H302" s="5" t="s">
        <v>645</v>
      </c>
      <c r="J302" t="s">
        <v>1542</v>
      </c>
    </row>
    <row r="303" spans="1:13" x14ac:dyDescent="0.25">
      <c r="A303">
        <v>1161</v>
      </c>
      <c r="B303" t="s">
        <v>1529</v>
      </c>
      <c r="C303" t="s">
        <v>1520</v>
      </c>
      <c r="D303" t="s">
        <v>219</v>
      </c>
      <c r="E303">
        <v>1343</v>
      </c>
      <c r="F303" t="s">
        <v>1097</v>
      </c>
      <c r="G303">
        <v>5</v>
      </c>
      <c r="H303" s="5" t="s">
        <v>540</v>
      </c>
      <c r="J303" s="5" t="s">
        <v>1534</v>
      </c>
    </row>
    <row r="304" spans="1:13" x14ac:dyDescent="0.25">
      <c r="A304">
        <v>1161</v>
      </c>
      <c r="B304" t="s">
        <v>1529</v>
      </c>
      <c r="C304" t="s">
        <v>1520</v>
      </c>
      <c r="D304" t="s">
        <v>219</v>
      </c>
      <c r="E304">
        <v>1343</v>
      </c>
      <c r="F304" t="s">
        <v>1097</v>
      </c>
      <c r="G304">
        <v>5</v>
      </c>
      <c r="H304" s="5" t="s">
        <v>488</v>
      </c>
      <c r="J304" t="s">
        <v>1535</v>
      </c>
    </row>
    <row r="305" spans="1:17" x14ac:dyDescent="0.25">
      <c r="A305">
        <v>1161</v>
      </c>
      <c r="B305" t="s">
        <v>1529</v>
      </c>
      <c r="C305" t="s">
        <v>1520</v>
      </c>
      <c r="D305" t="s">
        <v>219</v>
      </c>
      <c r="E305">
        <v>1343</v>
      </c>
      <c r="F305" t="s">
        <v>1097</v>
      </c>
      <c r="G305">
        <v>5</v>
      </c>
      <c r="H305" s="8" t="s">
        <v>398</v>
      </c>
      <c r="J305" t="s">
        <v>1550</v>
      </c>
    </row>
    <row r="306" spans="1:17" x14ac:dyDescent="0.25">
      <c r="A306">
        <v>1171</v>
      </c>
      <c r="B306" t="s">
        <v>465</v>
      </c>
      <c r="C306" t="s">
        <v>1565</v>
      </c>
      <c r="D306" t="s">
        <v>219</v>
      </c>
      <c r="E306">
        <v>1343</v>
      </c>
      <c r="F306" t="s">
        <v>1097</v>
      </c>
      <c r="G306">
        <v>13</v>
      </c>
      <c r="H306" s="8" t="s">
        <v>398</v>
      </c>
      <c r="I306" s="5" t="s">
        <v>1551</v>
      </c>
      <c r="J306" s="5" t="s">
        <v>3920</v>
      </c>
      <c r="K306" s="5" t="s">
        <v>1567</v>
      </c>
      <c r="L306" s="5" t="s">
        <v>1568</v>
      </c>
    </row>
    <row r="307" spans="1:17" x14ac:dyDescent="0.25">
      <c r="A307">
        <v>1172</v>
      </c>
      <c r="B307" t="s">
        <v>1572</v>
      </c>
      <c r="C307" t="s">
        <v>1573</v>
      </c>
      <c r="D307" t="s">
        <v>219</v>
      </c>
      <c r="E307">
        <v>1343</v>
      </c>
      <c r="F307" t="s">
        <v>265</v>
      </c>
      <c r="G307">
        <v>26</v>
      </c>
      <c r="H307" s="5" t="s">
        <v>1575</v>
      </c>
      <c r="K307" t="s">
        <v>1576</v>
      </c>
      <c r="L307" t="s">
        <v>1577</v>
      </c>
      <c r="M307" t="s">
        <v>1072</v>
      </c>
    </row>
    <row r="308" spans="1:17" x14ac:dyDescent="0.25">
      <c r="A308">
        <v>1181</v>
      </c>
      <c r="B308" t="s">
        <v>13</v>
      </c>
      <c r="C308" t="s">
        <v>1582</v>
      </c>
      <c r="D308" t="s">
        <v>219</v>
      </c>
      <c r="E308">
        <v>1343</v>
      </c>
      <c r="F308" t="s">
        <v>817</v>
      </c>
      <c r="G308">
        <v>4</v>
      </c>
      <c r="H308" s="8" t="s">
        <v>398</v>
      </c>
      <c r="J308" t="s">
        <v>1583</v>
      </c>
    </row>
    <row r="309" spans="1:17" x14ac:dyDescent="0.25">
      <c r="A309">
        <v>1181</v>
      </c>
      <c r="B309" t="s">
        <v>13</v>
      </c>
      <c r="C309" t="s">
        <v>1582</v>
      </c>
      <c r="D309" t="s">
        <v>219</v>
      </c>
      <c r="E309">
        <v>1343</v>
      </c>
      <c r="F309" t="s">
        <v>817</v>
      </c>
      <c r="G309">
        <v>4</v>
      </c>
      <c r="H309" s="5" t="s">
        <v>833</v>
      </c>
      <c r="J309" t="s">
        <v>1583</v>
      </c>
      <c r="K309" t="s">
        <v>1584</v>
      </c>
      <c r="L309" t="s">
        <v>1585</v>
      </c>
      <c r="M309" t="s">
        <v>1586</v>
      </c>
      <c r="Q309" t="s">
        <v>1587</v>
      </c>
    </row>
    <row r="310" spans="1:17" x14ac:dyDescent="0.25">
      <c r="A310">
        <v>1182</v>
      </c>
      <c r="B310" t="s">
        <v>465</v>
      </c>
      <c r="C310" t="s">
        <v>3899</v>
      </c>
      <c r="D310" t="s">
        <v>219</v>
      </c>
      <c r="E310">
        <v>1343</v>
      </c>
      <c r="F310" t="s">
        <v>817</v>
      </c>
      <c r="G310">
        <v>4</v>
      </c>
      <c r="H310" s="8" t="s">
        <v>398</v>
      </c>
      <c r="J310" t="s">
        <v>1590</v>
      </c>
      <c r="K310" t="s">
        <v>1584</v>
      </c>
      <c r="L310" t="s">
        <v>1591</v>
      </c>
      <c r="M310" t="s">
        <v>1592</v>
      </c>
    </row>
    <row r="311" spans="1:17" x14ac:dyDescent="0.25">
      <c r="A311">
        <v>1183</v>
      </c>
      <c r="B311" t="s">
        <v>465</v>
      </c>
      <c r="C311" t="s">
        <v>1582</v>
      </c>
      <c r="D311" t="s">
        <v>219</v>
      </c>
      <c r="E311">
        <v>1343</v>
      </c>
      <c r="F311" t="s">
        <v>817</v>
      </c>
      <c r="G311">
        <v>4</v>
      </c>
      <c r="H311" s="5" t="s">
        <v>1599</v>
      </c>
      <c r="I311" s="5" t="s">
        <v>1600</v>
      </c>
      <c r="Q311" t="s">
        <v>1601</v>
      </c>
    </row>
    <row r="312" spans="1:17" x14ac:dyDescent="0.25">
      <c r="A312">
        <v>1191</v>
      </c>
      <c r="B312" t="s">
        <v>465</v>
      </c>
      <c r="C312" t="s">
        <v>124</v>
      </c>
      <c r="D312" t="s">
        <v>219</v>
      </c>
      <c r="E312">
        <v>1396</v>
      </c>
      <c r="F312" t="s">
        <v>1038</v>
      </c>
      <c r="G312">
        <v>10</v>
      </c>
      <c r="H312" s="5" t="s">
        <v>1603</v>
      </c>
      <c r="I312" s="5" t="s">
        <v>1604</v>
      </c>
    </row>
    <row r="313" spans="1:17" x14ac:dyDescent="0.25">
      <c r="A313">
        <v>1271</v>
      </c>
      <c r="B313" t="s">
        <v>50</v>
      </c>
      <c r="C313" t="s">
        <v>170</v>
      </c>
      <c r="D313" t="s">
        <v>219</v>
      </c>
      <c r="E313">
        <v>1343</v>
      </c>
      <c r="F313" t="s">
        <v>1097</v>
      </c>
      <c r="G313">
        <v>10</v>
      </c>
      <c r="H313" s="5" t="s">
        <v>645</v>
      </c>
      <c r="I313" s="5" t="s">
        <v>1633</v>
      </c>
      <c r="K313" s="5" t="s">
        <v>1634</v>
      </c>
    </row>
    <row r="314" spans="1:17" x14ac:dyDescent="0.25">
      <c r="A314">
        <v>1271</v>
      </c>
      <c r="B314" t="s">
        <v>50</v>
      </c>
      <c r="C314" t="s">
        <v>170</v>
      </c>
      <c r="D314" t="s">
        <v>219</v>
      </c>
      <c r="E314">
        <v>1343</v>
      </c>
      <c r="F314" t="s">
        <v>1097</v>
      </c>
      <c r="G314">
        <v>10</v>
      </c>
      <c r="H314" s="5" t="s">
        <v>1635</v>
      </c>
      <c r="I314" s="5" t="s">
        <v>1639</v>
      </c>
      <c r="K314" s="5" t="s">
        <v>1638</v>
      </c>
    </row>
    <row r="315" spans="1:17" x14ac:dyDescent="0.25">
      <c r="A315">
        <v>1271</v>
      </c>
      <c r="B315" t="s">
        <v>50</v>
      </c>
      <c r="C315" t="s">
        <v>170</v>
      </c>
      <c r="D315" t="s">
        <v>219</v>
      </c>
      <c r="E315">
        <v>1343</v>
      </c>
      <c r="F315" t="s">
        <v>1097</v>
      </c>
      <c r="G315">
        <v>10</v>
      </c>
      <c r="H315" s="5" t="s">
        <v>1635</v>
      </c>
      <c r="I315" s="5" t="s">
        <v>1636</v>
      </c>
      <c r="K315" s="5" t="s">
        <v>1637</v>
      </c>
    </row>
    <row r="316" spans="1:17" x14ac:dyDescent="0.25">
      <c r="A316">
        <v>1271</v>
      </c>
      <c r="B316" t="s">
        <v>50</v>
      </c>
      <c r="C316" t="s">
        <v>170</v>
      </c>
      <c r="D316" t="s">
        <v>219</v>
      </c>
      <c r="E316">
        <v>1343</v>
      </c>
      <c r="F316" t="s">
        <v>1097</v>
      </c>
      <c r="G316">
        <v>10</v>
      </c>
      <c r="H316" s="5" t="s">
        <v>645</v>
      </c>
      <c r="I316" s="5" t="s">
        <v>1621</v>
      </c>
      <c r="K316" t="s">
        <v>1623</v>
      </c>
      <c r="L316" t="s">
        <v>1624</v>
      </c>
      <c r="M316" t="s">
        <v>1625</v>
      </c>
      <c r="Q316" t="s">
        <v>1622</v>
      </c>
    </row>
    <row r="317" spans="1:17" x14ac:dyDescent="0.25">
      <c r="A317">
        <v>1271</v>
      </c>
      <c r="B317" t="s">
        <v>50</v>
      </c>
      <c r="C317" t="s">
        <v>170</v>
      </c>
      <c r="D317" t="s">
        <v>219</v>
      </c>
      <c r="E317">
        <v>1343</v>
      </c>
      <c r="F317" t="s">
        <v>1097</v>
      </c>
      <c r="G317">
        <v>10</v>
      </c>
      <c r="H317" s="8" t="s">
        <v>398</v>
      </c>
      <c r="I317" s="5" t="s">
        <v>1626</v>
      </c>
      <c r="J317" s="5" t="s">
        <v>1627</v>
      </c>
      <c r="K317" s="5" t="s">
        <v>1628</v>
      </c>
      <c r="L317" s="5" t="s">
        <v>1629</v>
      </c>
    </row>
    <row r="318" spans="1:17" x14ac:dyDescent="0.25">
      <c r="A318">
        <v>1271</v>
      </c>
      <c r="B318" t="s">
        <v>50</v>
      </c>
      <c r="C318" t="s">
        <v>170</v>
      </c>
      <c r="D318" t="s">
        <v>219</v>
      </c>
      <c r="E318">
        <v>1343</v>
      </c>
      <c r="F318" t="s">
        <v>1097</v>
      </c>
      <c r="G318">
        <v>10</v>
      </c>
      <c r="H318" s="5" t="s">
        <v>645</v>
      </c>
      <c r="I318" s="5" t="s">
        <v>1630</v>
      </c>
      <c r="K318" s="5" t="s">
        <v>1631</v>
      </c>
      <c r="L318" s="5" t="s">
        <v>1632</v>
      </c>
      <c r="Q318" t="s">
        <v>1653</v>
      </c>
    </row>
    <row r="319" spans="1:17" x14ac:dyDescent="0.25">
      <c r="A319">
        <v>1271</v>
      </c>
      <c r="B319" t="s">
        <v>50</v>
      </c>
      <c r="C319" t="s">
        <v>170</v>
      </c>
      <c r="D319" t="s">
        <v>219</v>
      </c>
      <c r="E319">
        <v>1343</v>
      </c>
      <c r="F319" t="s">
        <v>1097</v>
      </c>
      <c r="G319">
        <v>10</v>
      </c>
      <c r="H319" s="5" t="s">
        <v>540</v>
      </c>
      <c r="J319" t="s">
        <v>1613</v>
      </c>
      <c r="K319" t="s">
        <v>1614</v>
      </c>
      <c r="L319" t="s">
        <v>1615</v>
      </c>
    </row>
    <row r="320" spans="1:17" x14ac:dyDescent="0.25">
      <c r="A320">
        <v>1271</v>
      </c>
      <c r="B320" t="s">
        <v>50</v>
      </c>
      <c r="C320" t="s">
        <v>170</v>
      </c>
      <c r="D320" t="s">
        <v>219</v>
      </c>
      <c r="E320">
        <v>1343</v>
      </c>
      <c r="F320" t="s">
        <v>1097</v>
      </c>
      <c r="G320">
        <v>10</v>
      </c>
      <c r="H320" s="5" t="s">
        <v>540</v>
      </c>
      <c r="J320" t="s">
        <v>1613</v>
      </c>
      <c r="K320" t="s">
        <v>1616</v>
      </c>
      <c r="L320" t="s">
        <v>1619</v>
      </c>
    </row>
    <row r="321" spans="1:17" x14ac:dyDescent="0.25">
      <c r="A321">
        <v>1271</v>
      </c>
      <c r="B321" t="s">
        <v>50</v>
      </c>
      <c r="C321" t="s">
        <v>170</v>
      </c>
      <c r="D321" t="s">
        <v>219</v>
      </c>
      <c r="E321">
        <v>1343</v>
      </c>
      <c r="F321" t="s">
        <v>1097</v>
      </c>
      <c r="G321">
        <v>10</v>
      </c>
      <c r="H321" s="5" t="s">
        <v>488</v>
      </c>
      <c r="J321" t="s">
        <v>1617</v>
      </c>
      <c r="K321" t="s">
        <v>1616</v>
      </c>
    </row>
    <row r="322" spans="1:17" x14ac:dyDescent="0.25">
      <c r="A322">
        <v>1271</v>
      </c>
      <c r="B322" t="s">
        <v>50</v>
      </c>
      <c r="C322" t="s">
        <v>170</v>
      </c>
      <c r="D322" t="s">
        <v>219</v>
      </c>
      <c r="E322">
        <v>1343</v>
      </c>
      <c r="F322" t="s">
        <v>1097</v>
      </c>
      <c r="G322">
        <v>10</v>
      </c>
      <c r="H322" s="5" t="s">
        <v>488</v>
      </c>
      <c r="J322" t="s">
        <v>1617</v>
      </c>
      <c r="K322" t="s">
        <v>1618</v>
      </c>
      <c r="L322" t="s">
        <v>1620</v>
      </c>
    </row>
    <row r="323" spans="1:17" x14ac:dyDescent="0.25">
      <c r="A323">
        <v>1272</v>
      </c>
      <c r="B323" t="s">
        <v>1646</v>
      </c>
      <c r="C323" t="s">
        <v>170</v>
      </c>
      <c r="D323" t="s">
        <v>219</v>
      </c>
      <c r="E323">
        <v>1343</v>
      </c>
      <c r="F323" t="s">
        <v>1097</v>
      </c>
      <c r="G323">
        <v>10</v>
      </c>
      <c r="H323" s="5" t="s">
        <v>645</v>
      </c>
      <c r="I323" s="5" t="s">
        <v>1655</v>
      </c>
      <c r="K323" t="s">
        <v>1652</v>
      </c>
      <c r="L323" t="s">
        <v>1656</v>
      </c>
    </row>
    <row r="324" spans="1:17" x14ac:dyDescent="0.25">
      <c r="A324">
        <v>1272</v>
      </c>
      <c r="B324" t="s">
        <v>1646</v>
      </c>
      <c r="C324" t="s">
        <v>170</v>
      </c>
      <c r="D324" t="s">
        <v>219</v>
      </c>
      <c r="E324">
        <v>1343</v>
      </c>
      <c r="F324" t="s">
        <v>1097</v>
      </c>
      <c r="G324">
        <v>10</v>
      </c>
      <c r="H324" s="8" t="s">
        <v>398</v>
      </c>
      <c r="I324" s="5" t="s">
        <v>1657</v>
      </c>
      <c r="K324" t="s">
        <v>1652</v>
      </c>
      <c r="L324" t="s">
        <v>1658</v>
      </c>
    </row>
    <row r="325" spans="1:17" x14ac:dyDescent="0.25">
      <c r="A325">
        <v>1272</v>
      </c>
      <c r="B325" t="s">
        <v>1646</v>
      </c>
      <c r="C325" t="s">
        <v>170</v>
      </c>
      <c r="D325" t="s">
        <v>219</v>
      </c>
      <c r="E325">
        <v>1343</v>
      </c>
      <c r="F325" t="s">
        <v>1097</v>
      </c>
      <c r="G325">
        <v>10</v>
      </c>
      <c r="H325" s="5" t="s">
        <v>540</v>
      </c>
      <c r="J325" t="s">
        <v>1648</v>
      </c>
    </row>
    <row r="326" spans="1:17" x14ac:dyDescent="0.25">
      <c r="A326">
        <v>1272</v>
      </c>
      <c r="B326" t="s">
        <v>1646</v>
      </c>
      <c r="C326" t="s">
        <v>170</v>
      </c>
      <c r="D326" t="s">
        <v>219</v>
      </c>
      <c r="E326">
        <v>1343</v>
      </c>
      <c r="F326" t="s">
        <v>1097</v>
      </c>
      <c r="G326">
        <v>10</v>
      </c>
      <c r="H326" s="5" t="s">
        <v>833</v>
      </c>
      <c r="J326" t="s">
        <v>1651</v>
      </c>
      <c r="K326" t="s">
        <v>1652</v>
      </c>
      <c r="Q326" t="s">
        <v>1654</v>
      </c>
    </row>
    <row r="327" spans="1:17" x14ac:dyDescent="0.25">
      <c r="A327">
        <v>1281</v>
      </c>
      <c r="B327" t="s">
        <v>1572</v>
      </c>
      <c r="C327" t="s">
        <v>170</v>
      </c>
      <c r="D327" t="s">
        <v>219</v>
      </c>
      <c r="E327">
        <v>1343</v>
      </c>
      <c r="F327" t="s">
        <v>1097</v>
      </c>
      <c r="G327">
        <v>10</v>
      </c>
      <c r="H327" s="5" t="s">
        <v>645</v>
      </c>
      <c r="J327" t="s">
        <v>1662</v>
      </c>
      <c r="K327" s="5" t="s">
        <v>1663</v>
      </c>
      <c r="L327" s="5" t="s">
        <v>3861</v>
      </c>
    </row>
    <row r="328" spans="1:17" x14ac:dyDescent="0.25">
      <c r="A328">
        <v>1281</v>
      </c>
      <c r="B328" t="s">
        <v>1572</v>
      </c>
      <c r="C328" t="s">
        <v>170</v>
      </c>
      <c r="D328" t="s">
        <v>219</v>
      </c>
      <c r="E328">
        <v>1343</v>
      </c>
      <c r="F328" t="s">
        <v>1097</v>
      </c>
      <c r="G328">
        <v>10</v>
      </c>
      <c r="H328" s="5" t="s">
        <v>540</v>
      </c>
      <c r="J328" t="s">
        <v>1613</v>
      </c>
    </row>
    <row r="329" spans="1:17" x14ac:dyDescent="0.25">
      <c r="A329">
        <v>1281</v>
      </c>
      <c r="B329" t="s">
        <v>1572</v>
      </c>
      <c r="C329" t="s">
        <v>170</v>
      </c>
      <c r="D329" t="s">
        <v>219</v>
      </c>
      <c r="E329">
        <v>1343</v>
      </c>
      <c r="F329" t="s">
        <v>1097</v>
      </c>
      <c r="G329">
        <v>10</v>
      </c>
      <c r="H329" s="5" t="s">
        <v>833</v>
      </c>
      <c r="J329" t="s">
        <v>1651</v>
      </c>
      <c r="K329" t="s">
        <v>1652</v>
      </c>
      <c r="Q329" t="s">
        <v>844</v>
      </c>
    </row>
    <row r="330" spans="1:17" x14ac:dyDescent="0.25">
      <c r="A330">
        <v>1284</v>
      </c>
      <c r="B330" t="s">
        <v>1667</v>
      </c>
      <c r="C330" t="s">
        <v>170</v>
      </c>
      <c r="D330" t="s">
        <v>220</v>
      </c>
      <c r="E330">
        <v>1343</v>
      </c>
      <c r="F330" t="s">
        <v>1097</v>
      </c>
      <c r="G330">
        <v>10</v>
      </c>
      <c r="H330" s="5" t="s">
        <v>725</v>
      </c>
      <c r="I330" s="5" t="s">
        <v>1684</v>
      </c>
      <c r="K330" s="5" t="s">
        <v>1682</v>
      </c>
    </row>
    <row r="331" spans="1:17" x14ac:dyDescent="0.25">
      <c r="A331">
        <v>1284</v>
      </c>
      <c r="B331" t="s">
        <v>1667</v>
      </c>
      <c r="C331" t="s">
        <v>170</v>
      </c>
      <c r="D331" t="s">
        <v>220</v>
      </c>
      <c r="E331">
        <v>1343</v>
      </c>
      <c r="F331" t="s">
        <v>1097</v>
      </c>
      <c r="G331">
        <v>10</v>
      </c>
      <c r="H331" s="5" t="s">
        <v>725</v>
      </c>
      <c r="I331" s="5" t="s">
        <v>1685</v>
      </c>
      <c r="K331" s="5" t="s">
        <v>1682</v>
      </c>
      <c r="L331" s="5" t="s">
        <v>1664</v>
      </c>
    </row>
    <row r="332" spans="1:17" x14ac:dyDescent="0.25">
      <c r="A332">
        <v>1284</v>
      </c>
      <c r="B332" t="s">
        <v>1667</v>
      </c>
      <c r="C332" t="s">
        <v>170</v>
      </c>
      <c r="D332" t="s">
        <v>220</v>
      </c>
      <c r="E332">
        <v>1343</v>
      </c>
      <c r="F332" t="s">
        <v>1097</v>
      </c>
      <c r="G332">
        <v>10</v>
      </c>
      <c r="H332" t="s">
        <v>1683</v>
      </c>
      <c r="I332" s="5" t="s">
        <v>1677</v>
      </c>
      <c r="K332" s="5" t="s">
        <v>1678</v>
      </c>
    </row>
    <row r="333" spans="1:17" x14ac:dyDescent="0.25">
      <c r="A333">
        <v>1284</v>
      </c>
      <c r="B333" t="s">
        <v>1667</v>
      </c>
      <c r="C333" t="s">
        <v>170</v>
      </c>
      <c r="D333" t="s">
        <v>220</v>
      </c>
      <c r="E333">
        <v>1343</v>
      </c>
      <c r="F333" t="s">
        <v>1097</v>
      </c>
      <c r="G333">
        <v>10</v>
      </c>
      <c r="H333" t="s">
        <v>1683</v>
      </c>
      <c r="I333" s="5" t="s">
        <v>1677</v>
      </c>
      <c r="K333" s="5" t="s">
        <v>1679</v>
      </c>
      <c r="L333" s="5" t="s">
        <v>1632</v>
      </c>
    </row>
    <row r="334" spans="1:17" x14ac:dyDescent="0.25">
      <c r="A334">
        <v>1284</v>
      </c>
      <c r="B334" t="s">
        <v>1667</v>
      </c>
      <c r="C334" t="s">
        <v>170</v>
      </c>
      <c r="D334" t="s">
        <v>220</v>
      </c>
      <c r="E334">
        <v>1343</v>
      </c>
      <c r="F334" t="s">
        <v>1097</v>
      </c>
      <c r="G334">
        <v>10</v>
      </c>
      <c r="H334" s="5" t="s">
        <v>389</v>
      </c>
      <c r="J334" t="s">
        <v>1648</v>
      </c>
      <c r="K334" s="5" t="s">
        <v>1674</v>
      </c>
    </row>
    <row r="335" spans="1:17" x14ac:dyDescent="0.25">
      <c r="A335">
        <v>1284</v>
      </c>
      <c r="B335" t="s">
        <v>1667</v>
      </c>
      <c r="C335" t="s">
        <v>170</v>
      </c>
      <c r="D335" t="s">
        <v>220</v>
      </c>
      <c r="E335">
        <v>1343</v>
      </c>
      <c r="F335" t="s">
        <v>1097</v>
      </c>
      <c r="G335">
        <v>10</v>
      </c>
      <c r="H335" s="5" t="s">
        <v>488</v>
      </c>
      <c r="J335" s="5" t="s">
        <v>1627</v>
      </c>
      <c r="K335" s="5" t="s">
        <v>1671</v>
      </c>
      <c r="L335" s="5" t="s">
        <v>1672</v>
      </c>
    </row>
    <row r="336" spans="1:17" x14ac:dyDescent="0.25">
      <c r="A336">
        <v>1284</v>
      </c>
      <c r="B336" t="s">
        <v>1667</v>
      </c>
      <c r="C336" t="s">
        <v>170</v>
      </c>
      <c r="D336" t="s">
        <v>220</v>
      </c>
      <c r="E336">
        <v>1343</v>
      </c>
      <c r="F336" t="s">
        <v>1097</v>
      </c>
      <c r="G336">
        <v>10</v>
      </c>
      <c r="H336" s="5" t="s">
        <v>488</v>
      </c>
      <c r="J336" s="5" t="s">
        <v>1627</v>
      </c>
      <c r="K336" s="5" t="s">
        <v>1673</v>
      </c>
    </row>
    <row r="337" spans="1:17" x14ac:dyDescent="0.25">
      <c r="A337">
        <v>1284</v>
      </c>
      <c r="B337" t="s">
        <v>1667</v>
      </c>
      <c r="C337" t="s">
        <v>170</v>
      </c>
      <c r="D337" t="s">
        <v>220</v>
      </c>
      <c r="E337">
        <v>1343</v>
      </c>
      <c r="F337" t="s">
        <v>1097</v>
      </c>
      <c r="G337">
        <v>10</v>
      </c>
      <c r="H337" t="s">
        <v>1683</v>
      </c>
      <c r="J337" s="5" t="s">
        <v>1627</v>
      </c>
      <c r="K337" s="5" t="s">
        <v>1681</v>
      </c>
      <c r="L337" s="5" t="s">
        <v>1682</v>
      </c>
    </row>
    <row r="338" spans="1:17" x14ac:dyDescent="0.25">
      <c r="A338">
        <v>1284</v>
      </c>
      <c r="B338" t="s">
        <v>1667</v>
      </c>
      <c r="C338" t="s">
        <v>170</v>
      </c>
      <c r="D338" t="s">
        <v>220</v>
      </c>
      <c r="E338">
        <v>1343</v>
      </c>
      <c r="F338" t="s">
        <v>1097</v>
      </c>
      <c r="G338">
        <v>10</v>
      </c>
      <c r="H338" s="8" t="s">
        <v>398</v>
      </c>
      <c r="J338" t="s">
        <v>1675</v>
      </c>
      <c r="K338" s="5" t="s">
        <v>1676</v>
      </c>
      <c r="L338" s="5" t="s">
        <v>1632</v>
      </c>
    </row>
    <row r="339" spans="1:17" x14ac:dyDescent="0.25">
      <c r="A339">
        <v>1284</v>
      </c>
      <c r="B339" t="s">
        <v>1667</v>
      </c>
      <c r="C339" t="s">
        <v>170</v>
      </c>
      <c r="D339" t="s">
        <v>220</v>
      </c>
      <c r="E339">
        <v>1343</v>
      </c>
      <c r="F339" t="s">
        <v>1097</v>
      </c>
      <c r="G339">
        <v>10</v>
      </c>
      <c r="H339" s="5" t="s">
        <v>488</v>
      </c>
      <c r="J339" t="s">
        <v>1680</v>
      </c>
      <c r="K339" s="5" t="s">
        <v>1681</v>
      </c>
      <c r="L339" s="5" t="s">
        <v>1682</v>
      </c>
    </row>
    <row r="340" spans="1:17" x14ac:dyDescent="0.25">
      <c r="A340">
        <v>1291</v>
      </c>
      <c r="B340" t="s">
        <v>13</v>
      </c>
      <c r="C340" t="s">
        <v>170</v>
      </c>
      <c r="D340" t="s">
        <v>219</v>
      </c>
      <c r="E340">
        <v>1343</v>
      </c>
      <c r="F340" t="s">
        <v>1097</v>
      </c>
      <c r="G340">
        <v>10</v>
      </c>
      <c r="H340" t="s">
        <v>1683</v>
      </c>
      <c r="J340" t="s">
        <v>1688</v>
      </c>
      <c r="K340" s="5" t="s">
        <v>1689</v>
      </c>
      <c r="L340" s="5" t="s">
        <v>1690</v>
      </c>
    </row>
    <row r="341" spans="1:17" x14ac:dyDescent="0.25">
      <c r="A341">
        <v>1292</v>
      </c>
      <c r="B341" t="s">
        <v>107</v>
      </c>
      <c r="C341" t="s">
        <v>1694</v>
      </c>
      <c r="D341" t="s">
        <v>219</v>
      </c>
      <c r="E341">
        <v>1343</v>
      </c>
      <c r="F341" t="s">
        <v>1097</v>
      </c>
      <c r="G341">
        <v>10</v>
      </c>
      <c r="H341" t="s">
        <v>1683</v>
      </c>
      <c r="I341" s="5" t="s">
        <v>1696</v>
      </c>
      <c r="J341" t="s">
        <v>1695</v>
      </c>
      <c r="K341" s="5" t="s">
        <v>1697</v>
      </c>
      <c r="L341" s="5" t="s">
        <v>1698</v>
      </c>
    </row>
    <row r="342" spans="1:17" x14ac:dyDescent="0.25">
      <c r="A342">
        <v>1293</v>
      </c>
      <c r="B342" t="s">
        <v>13</v>
      </c>
      <c r="C342" t="s">
        <v>1626</v>
      </c>
      <c r="D342" t="s">
        <v>219</v>
      </c>
      <c r="E342">
        <v>1343</v>
      </c>
      <c r="F342" t="s">
        <v>1097</v>
      </c>
      <c r="G342">
        <v>10</v>
      </c>
      <c r="H342" t="s">
        <v>1683</v>
      </c>
      <c r="J342" t="s">
        <v>1703</v>
      </c>
      <c r="K342" s="5" t="s">
        <v>1704</v>
      </c>
    </row>
    <row r="343" spans="1:17" x14ac:dyDescent="0.25">
      <c r="A343">
        <v>1293</v>
      </c>
      <c r="B343" t="s">
        <v>13</v>
      </c>
      <c r="C343" t="s">
        <v>1626</v>
      </c>
      <c r="D343" t="s">
        <v>219</v>
      </c>
      <c r="E343">
        <v>1343</v>
      </c>
      <c r="F343" t="s">
        <v>1097</v>
      </c>
      <c r="G343">
        <v>10</v>
      </c>
      <c r="H343" t="s">
        <v>1683</v>
      </c>
      <c r="J343" t="s">
        <v>1700</v>
      </c>
      <c r="K343" s="5" t="s">
        <v>1701</v>
      </c>
      <c r="L343" s="5" t="s">
        <v>1702</v>
      </c>
    </row>
    <row r="344" spans="1:17" x14ac:dyDescent="0.25">
      <c r="A344">
        <v>1301</v>
      </c>
      <c r="B344" t="s">
        <v>1706</v>
      </c>
      <c r="C344" t="s">
        <v>1755</v>
      </c>
      <c r="D344" t="s">
        <v>219</v>
      </c>
      <c r="E344">
        <v>1343</v>
      </c>
      <c r="F344" t="s">
        <v>1097</v>
      </c>
      <c r="G344">
        <v>10</v>
      </c>
      <c r="H344" s="5" t="s">
        <v>389</v>
      </c>
      <c r="J344" t="s">
        <v>1717</v>
      </c>
    </row>
    <row r="345" spans="1:17" x14ac:dyDescent="0.25">
      <c r="A345">
        <v>1301</v>
      </c>
      <c r="B345" t="s">
        <v>1706</v>
      </c>
      <c r="C345" t="s">
        <v>1755</v>
      </c>
      <c r="D345" t="s">
        <v>219</v>
      </c>
      <c r="E345">
        <v>1343</v>
      </c>
      <c r="F345" t="s">
        <v>1097</v>
      </c>
      <c r="G345">
        <v>10</v>
      </c>
      <c r="H345" s="5" t="s">
        <v>488</v>
      </c>
      <c r="K345" t="s">
        <v>1269</v>
      </c>
      <c r="L345" t="s">
        <v>1709</v>
      </c>
      <c r="M345" t="s">
        <v>1710</v>
      </c>
    </row>
    <row r="346" spans="1:17" x14ac:dyDescent="0.25">
      <c r="A346">
        <v>1302</v>
      </c>
      <c r="B346" t="s">
        <v>13</v>
      </c>
      <c r="C346" t="s">
        <v>1755</v>
      </c>
      <c r="D346" t="s">
        <v>219</v>
      </c>
      <c r="E346">
        <v>1343</v>
      </c>
      <c r="F346" t="s">
        <v>1097</v>
      </c>
      <c r="G346">
        <v>10</v>
      </c>
      <c r="H346" s="5" t="s">
        <v>389</v>
      </c>
      <c r="J346" t="s">
        <v>1718</v>
      </c>
    </row>
    <row r="347" spans="1:17" x14ac:dyDescent="0.25">
      <c r="A347">
        <v>1302</v>
      </c>
      <c r="B347" t="s">
        <v>13</v>
      </c>
      <c r="C347" t="s">
        <v>1755</v>
      </c>
      <c r="D347" t="s">
        <v>219</v>
      </c>
      <c r="E347">
        <v>1343</v>
      </c>
      <c r="F347" t="s">
        <v>1097</v>
      </c>
      <c r="G347">
        <v>10</v>
      </c>
      <c r="H347" s="5" t="s">
        <v>488</v>
      </c>
      <c r="K347" t="s">
        <v>1269</v>
      </c>
      <c r="L347" t="s">
        <v>1719</v>
      </c>
      <c r="M347" t="s">
        <v>1720</v>
      </c>
      <c r="N347" t="s">
        <v>1721</v>
      </c>
    </row>
    <row r="348" spans="1:17" x14ac:dyDescent="0.25">
      <c r="A348">
        <v>1303</v>
      </c>
      <c r="B348" t="s">
        <v>465</v>
      </c>
      <c r="C348" t="s">
        <v>1723</v>
      </c>
      <c r="D348" t="s">
        <v>219</v>
      </c>
      <c r="E348">
        <v>1343</v>
      </c>
      <c r="F348" t="s">
        <v>1097</v>
      </c>
      <c r="G348">
        <v>10</v>
      </c>
      <c r="H348" t="s">
        <v>1683</v>
      </c>
      <c r="I348" s="5" t="s">
        <v>1724</v>
      </c>
      <c r="K348" t="s">
        <v>1725</v>
      </c>
      <c r="L348" t="s">
        <v>1726</v>
      </c>
    </row>
    <row r="349" spans="1:17" x14ac:dyDescent="0.25">
      <c r="A349">
        <v>1303</v>
      </c>
      <c r="B349" t="s">
        <v>465</v>
      </c>
      <c r="C349" t="s">
        <v>1723</v>
      </c>
      <c r="D349" t="s">
        <v>219</v>
      </c>
      <c r="E349">
        <v>1343</v>
      </c>
      <c r="F349" t="s">
        <v>1097</v>
      </c>
      <c r="G349">
        <v>10</v>
      </c>
      <c r="H349" t="s">
        <v>1683</v>
      </c>
      <c r="I349" s="5" t="s">
        <v>1727</v>
      </c>
      <c r="K349" t="s">
        <v>1728</v>
      </c>
    </row>
    <row r="350" spans="1:17" x14ac:dyDescent="0.25">
      <c r="A350">
        <v>1304</v>
      </c>
      <c r="B350" t="s">
        <v>1730</v>
      </c>
      <c r="C350" t="s">
        <v>1734</v>
      </c>
      <c r="D350" t="s">
        <v>219</v>
      </c>
      <c r="E350">
        <v>1386</v>
      </c>
      <c r="F350" t="s">
        <v>1038</v>
      </c>
      <c r="G350">
        <v>28</v>
      </c>
      <c r="H350" s="5" t="s">
        <v>1735</v>
      </c>
      <c r="J350" t="s">
        <v>1736</v>
      </c>
      <c r="K350" t="s">
        <v>1742</v>
      </c>
      <c r="L350" t="s">
        <v>1739</v>
      </c>
      <c r="M350" t="s">
        <v>1738</v>
      </c>
      <c r="Q350" t="s">
        <v>1753</v>
      </c>
    </row>
    <row r="351" spans="1:17" x14ac:dyDescent="0.25">
      <c r="A351">
        <v>1304</v>
      </c>
      <c r="B351" t="s">
        <v>1730</v>
      </c>
      <c r="C351" t="s">
        <v>1734</v>
      </c>
      <c r="D351" t="s">
        <v>219</v>
      </c>
      <c r="E351">
        <v>1386</v>
      </c>
      <c r="F351" t="s">
        <v>1038</v>
      </c>
      <c r="G351">
        <v>28</v>
      </c>
      <c r="H351" s="5" t="s">
        <v>1735</v>
      </c>
      <c r="J351" t="s">
        <v>1736</v>
      </c>
      <c r="K351" t="s">
        <v>1740</v>
      </c>
      <c r="L351" t="s">
        <v>1737</v>
      </c>
      <c r="M351" t="s">
        <v>1741</v>
      </c>
      <c r="Q351" t="s">
        <v>1753</v>
      </c>
    </row>
    <row r="352" spans="1:17" x14ac:dyDescent="0.25">
      <c r="A352">
        <v>1304</v>
      </c>
      <c r="B352" t="s">
        <v>1730</v>
      </c>
      <c r="C352" t="s">
        <v>1734</v>
      </c>
      <c r="D352" t="s">
        <v>219</v>
      </c>
      <c r="E352">
        <v>1386</v>
      </c>
      <c r="F352" t="s">
        <v>1038</v>
      </c>
      <c r="G352">
        <v>28</v>
      </c>
      <c r="H352" s="5" t="s">
        <v>1735</v>
      </c>
      <c r="J352" t="s">
        <v>1736</v>
      </c>
      <c r="K352" t="s">
        <v>1743</v>
      </c>
      <c r="L352" t="s">
        <v>1744</v>
      </c>
      <c r="M352" t="s">
        <v>1745</v>
      </c>
      <c r="Q352" t="s">
        <v>1753</v>
      </c>
    </row>
    <row r="353" spans="1:17" x14ac:dyDescent="0.25">
      <c r="A353">
        <v>1311</v>
      </c>
      <c r="B353" t="s">
        <v>23</v>
      </c>
      <c r="C353" t="s">
        <v>1755</v>
      </c>
      <c r="D353" t="s">
        <v>219</v>
      </c>
      <c r="E353">
        <v>1343</v>
      </c>
      <c r="F353" t="s">
        <v>1097</v>
      </c>
      <c r="G353">
        <v>10</v>
      </c>
      <c r="H353" s="5" t="s">
        <v>389</v>
      </c>
      <c r="J353" t="s">
        <v>1757</v>
      </c>
    </row>
    <row r="354" spans="1:17" x14ac:dyDescent="0.25">
      <c r="A354">
        <v>1311</v>
      </c>
      <c r="B354" t="s">
        <v>23</v>
      </c>
      <c r="C354" t="s">
        <v>1755</v>
      </c>
      <c r="D354" t="s">
        <v>219</v>
      </c>
      <c r="E354">
        <v>1343</v>
      </c>
      <c r="F354" t="s">
        <v>1097</v>
      </c>
      <c r="G354">
        <v>10</v>
      </c>
      <c r="H354" s="5" t="s">
        <v>488</v>
      </c>
      <c r="J354" t="s">
        <v>1758</v>
      </c>
      <c r="K354" t="s">
        <v>1269</v>
      </c>
      <c r="L354" t="s">
        <v>1759</v>
      </c>
    </row>
    <row r="355" spans="1:17" x14ac:dyDescent="0.25">
      <c r="A355">
        <v>1312</v>
      </c>
      <c r="B355" t="s">
        <v>13</v>
      </c>
      <c r="C355" t="s">
        <v>1762</v>
      </c>
      <c r="D355" t="s">
        <v>219</v>
      </c>
      <c r="E355">
        <v>1343</v>
      </c>
      <c r="F355" t="s">
        <v>1097</v>
      </c>
      <c r="G355">
        <v>11</v>
      </c>
      <c r="H355" s="8" t="s">
        <v>398</v>
      </c>
      <c r="J355" t="s">
        <v>1764</v>
      </c>
      <c r="K355" t="s">
        <v>1765</v>
      </c>
      <c r="L355" t="s">
        <v>1766</v>
      </c>
      <c r="M355" t="s">
        <v>1773</v>
      </c>
    </row>
    <row r="356" spans="1:17" x14ac:dyDescent="0.25">
      <c r="A356">
        <v>1313</v>
      </c>
      <c r="B356" t="s">
        <v>1768</v>
      </c>
      <c r="C356" t="s">
        <v>1762</v>
      </c>
      <c r="D356" t="s">
        <v>220</v>
      </c>
      <c r="E356">
        <v>1343</v>
      </c>
      <c r="F356" t="s">
        <v>1097</v>
      </c>
      <c r="G356">
        <v>11</v>
      </c>
      <c r="H356" s="8" t="s">
        <v>398</v>
      </c>
      <c r="J356" t="s">
        <v>1772</v>
      </c>
      <c r="K356" t="s">
        <v>1765</v>
      </c>
      <c r="L356" t="s">
        <v>1766</v>
      </c>
      <c r="M356" t="s">
        <v>1774</v>
      </c>
    </row>
    <row r="357" spans="1:17" x14ac:dyDescent="0.25">
      <c r="A357">
        <v>1314</v>
      </c>
      <c r="B357" t="s">
        <v>1775</v>
      </c>
      <c r="C357" t="s">
        <v>1776</v>
      </c>
      <c r="D357" t="s">
        <v>219</v>
      </c>
      <c r="E357">
        <v>1343</v>
      </c>
      <c r="F357" t="s">
        <v>1097</v>
      </c>
      <c r="G357">
        <v>11</v>
      </c>
      <c r="H357" t="s">
        <v>1683</v>
      </c>
      <c r="J357" t="s">
        <v>1778</v>
      </c>
      <c r="K357" t="s">
        <v>1779</v>
      </c>
      <c r="L357" t="s">
        <v>1780</v>
      </c>
      <c r="Q357" t="s">
        <v>1781</v>
      </c>
    </row>
    <row r="358" spans="1:17" x14ac:dyDescent="0.25">
      <c r="A358">
        <v>1315</v>
      </c>
      <c r="B358" t="s">
        <v>1783</v>
      </c>
      <c r="C358" t="s">
        <v>1784</v>
      </c>
      <c r="D358" t="s">
        <v>219</v>
      </c>
      <c r="E358">
        <v>1343</v>
      </c>
      <c r="F358" t="s">
        <v>1097</v>
      </c>
      <c r="G358">
        <v>11</v>
      </c>
      <c r="H358" s="5" t="s">
        <v>1635</v>
      </c>
      <c r="J358" t="s">
        <v>1785</v>
      </c>
      <c r="K358" t="s">
        <v>1786</v>
      </c>
      <c r="L358" t="s">
        <v>1787</v>
      </c>
      <c r="M358" t="s">
        <v>1788</v>
      </c>
    </row>
    <row r="359" spans="1:17" x14ac:dyDescent="0.25">
      <c r="A359">
        <v>1321</v>
      </c>
      <c r="B359" s="22" t="s">
        <v>1802</v>
      </c>
      <c r="C359" t="s">
        <v>1791</v>
      </c>
      <c r="D359" t="s">
        <v>219</v>
      </c>
      <c r="E359">
        <v>1343</v>
      </c>
      <c r="F359" t="s">
        <v>1097</v>
      </c>
      <c r="G359">
        <v>12</v>
      </c>
      <c r="H359" s="5" t="s">
        <v>1792</v>
      </c>
      <c r="I359" s="5" t="s">
        <v>1793</v>
      </c>
      <c r="K359" t="s">
        <v>1794</v>
      </c>
      <c r="L359" t="s">
        <v>3929</v>
      </c>
      <c r="M359" t="s">
        <v>1795</v>
      </c>
      <c r="N359" t="s">
        <v>1796</v>
      </c>
    </row>
    <row r="360" spans="1:17" x14ac:dyDescent="0.25">
      <c r="A360">
        <v>1322</v>
      </c>
      <c r="B360" t="s">
        <v>465</v>
      </c>
      <c r="C360" t="s">
        <v>1791</v>
      </c>
      <c r="D360" t="s">
        <v>219</v>
      </c>
      <c r="E360">
        <v>1343</v>
      </c>
      <c r="F360" t="s">
        <v>1097</v>
      </c>
      <c r="G360">
        <v>12</v>
      </c>
      <c r="H360" s="5" t="s">
        <v>3884</v>
      </c>
      <c r="I360" s="5" t="s">
        <v>1793</v>
      </c>
    </row>
    <row r="361" spans="1:17" x14ac:dyDescent="0.25">
      <c r="A361">
        <v>1322</v>
      </c>
      <c r="B361" t="s">
        <v>465</v>
      </c>
      <c r="C361" t="s">
        <v>1791</v>
      </c>
      <c r="D361" t="s">
        <v>219</v>
      </c>
      <c r="E361">
        <v>1343</v>
      </c>
      <c r="F361" t="s">
        <v>1097</v>
      </c>
      <c r="G361">
        <v>12</v>
      </c>
      <c r="H361" s="5" t="s">
        <v>3885</v>
      </c>
      <c r="I361" s="5" t="s">
        <v>1793</v>
      </c>
    </row>
    <row r="362" spans="1:17" x14ac:dyDescent="0.25">
      <c r="A362">
        <v>1332</v>
      </c>
      <c r="B362" t="s">
        <v>3804</v>
      </c>
      <c r="C362" t="s">
        <v>1810</v>
      </c>
      <c r="D362" t="s">
        <v>219</v>
      </c>
      <c r="E362">
        <v>1343</v>
      </c>
      <c r="F362" t="s">
        <v>1097</v>
      </c>
      <c r="G362">
        <v>12</v>
      </c>
      <c r="H362" s="8" t="s">
        <v>398</v>
      </c>
      <c r="I362" s="5" t="s">
        <v>1834</v>
      </c>
      <c r="J362" s="5" t="s">
        <v>1835</v>
      </c>
    </row>
    <row r="363" spans="1:17" x14ac:dyDescent="0.25">
      <c r="A363">
        <v>1332</v>
      </c>
      <c r="B363" t="s">
        <v>3804</v>
      </c>
      <c r="C363" t="s">
        <v>1810</v>
      </c>
      <c r="D363" t="s">
        <v>219</v>
      </c>
      <c r="E363">
        <v>1343</v>
      </c>
      <c r="F363" t="s">
        <v>1097</v>
      </c>
      <c r="G363">
        <v>12</v>
      </c>
      <c r="H363" s="8" t="s">
        <v>398</v>
      </c>
      <c r="I363" s="5" t="s">
        <v>1834</v>
      </c>
    </row>
    <row r="364" spans="1:17" x14ac:dyDescent="0.25">
      <c r="A364">
        <v>1332</v>
      </c>
      <c r="B364" t="s">
        <v>3804</v>
      </c>
      <c r="C364" t="s">
        <v>1810</v>
      </c>
      <c r="D364" t="s">
        <v>219</v>
      </c>
      <c r="E364">
        <v>1343</v>
      </c>
      <c r="F364" t="s">
        <v>1097</v>
      </c>
      <c r="G364">
        <v>12</v>
      </c>
      <c r="H364" s="5" t="s">
        <v>645</v>
      </c>
      <c r="I364" s="5" t="s">
        <v>1815</v>
      </c>
    </row>
    <row r="365" spans="1:17" x14ac:dyDescent="0.25">
      <c r="A365">
        <v>1332</v>
      </c>
      <c r="B365" t="s">
        <v>3804</v>
      </c>
      <c r="C365" t="s">
        <v>1810</v>
      </c>
      <c r="D365" t="s">
        <v>219</v>
      </c>
      <c r="E365">
        <v>1343</v>
      </c>
      <c r="F365" t="s">
        <v>1097</v>
      </c>
      <c r="G365">
        <v>12</v>
      </c>
      <c r="H365" s="8" t="s">
        <v>398</v>
      </c>
      <c r="I365" s="5" t="s">
        <v>1833</v>
      </c>
    </row>
    <row r="366" spans="1:17" x14ac:dyDescent="0.25">
      <c r="A366">
        <v>1332</v>
      </c>
      <c r="B366" t="s">
        <v>3804</v>
      </c>
      <c r="C366" t="s">
        <v>1810</v>
      </c>
      <c r="D366" t="s">
        <v>219</v>
      </c>
      <c r="E366">
        <v>1343</v>
      </c>
      <c r="F366" t="s">
        <v>1097</v>
      </c>
      <c r="G366">
        <v>12</v>
      </c>
      <c r="H366" s="8" t="s">
        <v>398</v>
      </c>
      <c r="I366" s="5" t="s">
        <v>1814</v>
      </c>
    </row>
    <row r="367" spans="1:17" x14ac:dyDescent="0.25">
      <c r="A367">
        <v>1332</v>
      </c>
      <c r="B367" t="s">
        <v>3804</v>
      </c>
      <c r="C367" t="s">
        <v>1810</v>
      </c>
      <c r="D367" t="s">
        <v>219</v>
      </c>
      <c r="E367">
        <v>1343</v>
      </c>
      <c r="F367" t="s">
        <v>1097</v>
      </c>
      <c r="G367">
        <v>12</v>
      </c>
      <c r="H367" s="5" t="s">
        <v>645</v>
      </c>
      <c r="I367" s="5" t="s">
        <v>1831</v>
      </c>
    </row>
    <row r="368" spans="1:17" x14ac:dyDescent="0.25">
      <c r="A368">
        <v>1332</v>
      </c>
      <c r="B368" t="s">
        <v>3804</v>
      </c>
      <c r="C368" t="s">
        <v>1810</v>
      </c>
      <c r="D368" t="s">
        <v>219</v>
      </c>
      <c r="E368">
        <v>1343</v>
      </c>
      <c r="F368" t="s">
        <v>1097</v>
      </c>
      <c r="G368">
        <v>12</v>
      </c>
      <c r="H368" s="5" t="s">
        <v>645</v>
      </c>
      <c r="I368" s="5" t="s">
        <v>1824</v>
      </c>
    </row>
    <row r="369" spans="1:18" x14ac:dyDescent="0.25">
      <c r="A369">
        <v>1332</v>
      </c>
      <c r="B369" t="s">
        <v>3804</v>
      </c>
      <c r="C369" t="s">
        <v>1810</v>
      </c>
      <c r="D369" t="s">
        <v>219</v>
      </c>
      <c r="E369">
        <v>1343</v>
      </c>
      <c r="F369" t="s">
        <v>1097</v>
      </c>
      <c r="G369">
        <v>12</v>
      </c>
      <c r="H369" s="5" t="s">
        <v>645</v>
      </c>
      <c r="I369" s="5" t="s">
        <v>1825</v>
      </c>
    </row>
    <row r="370" spans="1:18" x14ac:dyDescent="0.25">
      <c r="A370">
        <v>1332</v>
      </c>
      <c r="B370" t="s">
        <v>3804</v>
      </c>
      <c r="C370" t="s">
        <v>1810</v>
      </c>
      <c r="D370" t="s">
        <v>219</v>
      </c>
      <c r="E370">
        <v>1343</v>
      </c>
      <c r="F370" t="s">
        <v>1097</v>
      </c>
      <c r="G370">
        <v>12</v>
      </c>
      <c r="H370" s="8" t="s">
        <v>398</v>
      </c>
      <c r="I370" s="5" t="s">
        <v>1832</v>
      </c>
    </row>
    <row r="371" spans="1:18" x14ac:dyDescent="0.25">
      <c r="A371">
        <v>1332</v>
      </c>
      <c r="B371" t="s">
        <v>3804</v>
      </c>
      <c r="C371" t="s">
        <v>1810</v>
      </c>
      <c r="D371" t="s">
        <v>219</v>
      </c>
      <c r="E371">
        <v>1343</v>
      </c>
      <c r="F371" t="s">
        <v>1097</v>
      </c>
      <c r="G371">
        <v>12</v>
      </c>
      <c r="H371" s="5" t="s">
        <v>645</v>
      </c>
      <c r="I371" s="5" t="s">
        <v>191</v>
      </c>
    </row>
    <row r="372" spans="1:18" x14ac:dyDescent="0.25">
      <c r="A372">
        <v>1332</v>
      </c>
      <c r="B372" t="s">
        <v>3804</v>
      </c>
      <c r="C372" t="s">
        <v>1810</v>
      </c>
      <c r="D372" t="s">
        <v>219</v>
      </c>
      <c r="E372">
        <v>1343</v>
      </c>
      <c r="F372" t="s">
        <v>1097</v>
      </c>
      <c r="G372">
        <v>12</v>
      </c>
      <c r="H372" s="5" t="s">
        <v>645</v>
      </c>
      <c r="I372" s="5" t="s">
        <v>1821</v>
      </c>
      <c r="K372" t="s">
        <v>1822</v>
      </c>
    </row>
    <row r="373" spans="1:18" x14ac:dyDescent="0.25">
      <c r="A373">
        <v>1332</v>
      </c>
      <c r="B373" t="s">
        <v>3804</v>
      </c>
      <c r="C373" t="s">
        <v>1810</v>
      </c>
      <c r="D373" t="s">
        <v>219</v>
      </c>
      <c r="E373">
        <v>1343</v>
      </c>
      <c r="F373" t="s">
        <v>1097</v>
      </c>
      <c r="G373">
        <v>12</v>
      </c>
      <c r="H373" s="5" t="s">
        <v>645</v>
      </c>
      <c r="I373" s="5" t="s">
        <v>1829</v>
      </c>
    </row>
    <row r="374" spans="1:18" x14ac:dyDescent="0.25">
      <c r="A374">
        <v>1332</v>
      </c>
      <c r="B374" t="s">
        <v>3804</v>
      </c>
      <c r="C374" t="s">
        <v>1810</v>
      </c>
      <c r="D374" t="s">
        <v>219</v>
      </c>
      <c r="E374">
        <v>1343</v>
      </c>
      <c r="F374" t="s">
        <v>1097</v>
      </c>
      <c r="G374">
        <v>12</v>
      </c>
      <c r="H374" s="8" t="s">
        <v>398</v>
      </c>
      <c r="I374" s="5" t="s">
        <v>1838</v>
      </c>
    </row>
    <row r="375" spans="1:18" x14ac:dyDescent="0.25">
      <c r="A375">
        <v>1332</v>
      </c>
      <c r="B375" t="s">
        <v>3804</v>
      </c>
      <c r="C375" t="s">
        <v>1810</v>
      </c>
      <c r="D375" t="s">
        <v>219</v>
      </c>
      <c r="E375">
        <v>1343</v>
      </c>
      <c r="F375" t="s">
        <v>1097</v>
      </c>
      <c r="G375">
        <v>12</v>
      </c>
      <c r="H375" s="5" t="s">
        <v>645</v>
      </c>
      <c r="I375" s="5" t="s">
        <v>1812</v>
      </c>
    </row>
    <row r="376" spans="1:18" x14ac:dyDescent="0.25">
      <c r="A376">
        <v>1332</v>
      </c>
      <c r="B376" t="s">
        <v>3804</v>
      </c>
      <c r="C376" t="s">
        <v>1810</v>
      </c>
      <c r="D376" t="s">
        <v>219</v>
      </c>
      <c r="E376">
        <v>1343</v>
      </c>
      <c r="F376" t="s">
        <v>1097</v>
      </c>
      <c r="G376">
        <v>12</v>
      </c>
      <c r="H376" s="8" t="s">
        <v>398</v>
      </c>
      <c r="I376" s="5" t="s">
        <v>1836</v>
      </c>
      <c r="K376" t="s">
        <v>1837</v>
      </c>
    </row>
    <row r="377" spans="1:18" x14ac:dyDescent="0.25">
      <c r="A377">
        <v>1332</v>
      </c>
      <c r="B377" t="s">
        <v>3804</v>
      </c>
      <c r="C377" t="s">
        <v>1810</v>
      </c>
      <c r="D377" t="s">
        <v>219</v>
      </c>
      <c r="E377">
        <v>1343</v>
      </c>
      <c r="F377" t="s">
        <v>1097</v>
      </c>
      <c r="G377">
        <v>12</v>
      </c>
      <c r="H377" s="5" t="s">
        <v>645</v>
      </c>
      <c r="I377" s="5" t="s">
        <v>1830</v>
      </c>
    </row>
    <row r="378" spans="1:18" x14ac:dyDescent="0.25">
      <c r="A378">
        <v>1332</v>
      </c>
      <c r="B378" t="s">
        <v>3804</v>
      </c>
      <c r="C378" t="s">
        <v>1810</v>
      </c>
      <c r="D378" t="s">
        <v>219</v>
      </c>
      <c r="E378">
        <v>1343</v>
      </c>
      <c r="F378" t="s">
        <v>1097</v>
      </c>
      <c r="G378">
        <v>12</v>
      </c>
      <c r="H378" s="8" t="s">
        <v>398</v>
      </c>
      <c r="I378" s="5" t="s">
        <v>1830</v>
      </c>
    </row>
    <row r="379" spans="1:18" x14ac:dyDescent="0.25">
      <c r="A379">
        <v>1332</v>
      </c>
      <c r="B379" t="s">
        <v>3804</v>
      </c>
      <c r="C379" t="s">
        <v>1810</v>
      </c>
      <c r="D379" t="s">
        <v>219</v>
      </c>
      <c r="E379">
        <v>1343</v>
      </c>
      <c r="F379" t="s">
        <v>1097</v>
      </c>
      <c r="G379">
        <v>12</v>
      </c>
      <c r="H379" s="5" t="s">
        <v>1844</v>
      </c>
      <c r="I379" s="5" t="s">
        <v>1843</v>
      </c>
      <c r="J379" s="5" t="s">
        <v>1845</v>
      </c>
      <c r="R379" t="s">
        <v>3962</v>
      </c>
    </row>
    <row r="380" spans="1:18" x14ac:dyDescent="0.25">
      <c r="A380">
        <v>1332</v>
      </c>
      <c r="B380" t="s">
        <v>3804</v>
      </c>
      <c r="C380" t="s">
        <v>1810</v>
      </c>
      <c r="D380" t="s">
        <v>219</v>
      </c>
      <c r="E380">
        <v>1343</v>
      </c>
      <c r="F380" t="s">
        <v>1097</v>
      </c>
      <c r="G380">
        <v>12</v>
      </c>
      <c r="H380" s="5" t="s">
        <v>645</v>
      </c>
      <c r="I380" s="5" t="s">
        <v>1813</v>
      </c>
    </row>
    <row r="381" spans="1:18" x14ac:dyDescent="0.25">
      <c r="A381">
        <v>1332</v>
      </c>
      <c r="B381" t="s">
        <v>3804</v>
      </c>
      <c r="C381" t="s">
        <v>1810</v>
      </c>
      <c r="D381" t="s">
        <v>219</v>
      </c>
      <c r="E381">
        <v>1343</v>
      </c>
      <c r="F381" t="s">
        <v>1097</v>
      </c>
      <c r="G381">
        <v>12</v>
      </c>
      <c r="H381" s="5" t="s">
        <v>645</v>
      </c>
      <c r="I381" s="5" t="s">
        <v>1818</v>
      </c>
      <c r="J381" s="5" t="s">
        <v>1823</v>
      </c>
    </row>
    <row r="382" spans="1:18" x14ac:dyDescent="0.25">
      <c r="A382">
        <v>1332</v>
      </c>
      <c r="B382" t="s">
        <v>3804</v>
      </c>
      <c r="C382" t="s">
        <v>1810</v>
      </c>
      <c r="D382" t="s">
        <v>219</v>
      </c>
      <c r="E382">
        <v>1343</v>
      </c>
      <c r="F382" t="s">
        <v>1097</v>
      </c>
      <c r="G382">
        <v>12</v>
      </c>
      <c r="H382" s="5" t="s">
        <v>488</v>
      </c>
      <c r="I382" s="5" t="s">
        <v>1818</v>
      </c>
    </row>
    <row r="383" spans="1:18" x14ac:dyDescent="0.25">
      <c r="A383">
        <v>1332</v>
      </c>
      <c r="B383" t="s">
        <v>3804</v>
      </c>
      <c r="C383" t="s">
        <v>1810</v>
      </c>
      <c r="D383" t="s">
        <v>219</v>
      </c>
      <c r="E383">
        <v>1343</v>
      </c>
      <c r="F383" t="s">
        <v>1097</v>
      </c>
      <c r="G383">
        <v>12</v>
      </c>
      <c r="H383" s="5" t="s">
        <v>389</v>
      </c>
      <c r="J383" t="s">
        <v>1819</v>
      </c>
    </row>
    <row r="384" spans="1:18" x14ac:dyDescent="0.25">
      <c r="A384">
        <v>1332</v>
      </c>
      <c r="B384" t="s">
        <v>3804</v>
      </c>
      <c r="C384" t="s">
        <v>1810</v>
      </c>
      <c r="D384" t="s">
        <v>219</v>
      </c>
      <c r="E384">
        <v>1343</v>
      </c>
      <c r="F384" t="s">
        <v>1097</v>
      </c>
      <c r="G384">
        <v>12</v>
      </c>
      <c r="H384" s="5" t="s">
        <v>1816</v>
      </c>
      <c r="I384" s="5"/>
      <c r="K384" t="s">
        <v>1817</v>
      </c>
    </row>
    <row r="385" spans="1:17" x14ac:dyDescent="0.25">
      <c r="A385">
        <v>1332</v>
      </c>
      <c r="B385" t="s">
        <v>3804</v>
      </c>
      <c r="C385" t="s">
        <v>1810</v>
      </c>
      <c r="D385" t="s">
        <v>219</v>
      </c>
      <c r="E385">
        <v>1343</v>
      </c>
      <c r="F385" t="s">
        <v>1097</v>
      </c>
      <c r="G385">
        <v>12</v>
      </c>
      <c r="H385" s="5" t="s">
        <v>488</v>
      </c>
      <c r="K385" t="s">
        <v>1820</v>
      </c>
    </row>
    <row r="386" spans="1:17" x14ac:dyDescent="0.25">
      <c r="A386">
        <v>1332</v>
      </c>
      <c r="B386" t="s">
        <v>3804</v>
      </c>
      <c r="C386" t="s">
        <v>1810</v>
      </c>
      <c r="D386" t="s">
        <v>219</v>
      </c>
      <c r="E386">
        <v>1343</v>
      </c>
      <c r="F386" t="s">
        <v>1097</v>
      </c>
      <c r="G386">
        <v>12</v>
      </c>
      <c r="H386" s="5" t="s">
        <v>645</v>
      </c>
      <c r="K386" t="s">
        <v>1826</v>
      </c>
    </row>
    <row r="387" spans="1:17" x14ac:dyDescent="0.25">
      <c r="A387">
        <v>1332</v>
      </c>
      <c r="B387" t="s">
        <v>3804</v>
      </c>
      <c r="C387" t="s">
        <v>1810</v>
      </c>
      <c r="D387" t="s">
        <v>219</v>
      </c>
      <c r="E387">
        <v>1343</v>
      </c>
      <c r="F387" t="s">
        <v>1097</v>
      </c>
      <c r="G387">
        <v>12</v>
      </c>
      <c r="H387" s="5" t="s">
        <v>472</v>
      </c>
      <c r="K387" t="s">
        <v>1827</v>
      </c>
      <c r="L387" t="s">
        <v>1828</v>
      </c>
    </row>
    <row r="388" spans="1:17" x14ac:dyDescent="0.25">
      <c r="A388">
        <v>1332</v>
      </c>
      <c r="B388" t="s">
        <v>3804</v>
      </c>
      <c r="C388" t="s">
        <v>1810</v>
      </c>
      <c r="D388" t="s">
        <v>219</v>
      </c>
      <c r="E388">
        <v>1343</v>
      </c>
      <c r="F388" t="s">
        <v>1097</v>
      </c>
      <c r="G388">
        <v>12</v>
      </c>
      <c r="H388" s="8" t="s">
        <v>417</v>
      </c>
      <c r="K388" t="s">
        <v>1839</v>
      </c>
    </row>
    <row r="389" spans="1:17" x14ac:dyDescent="0.25">
      <c r="A389">
        <v>1333</v>
      </c>
      <c r="B389" t="s">
        <v>1850</v>
      </c>
      <c r="C389" t="s">
        <v>1810</v>
      </c>
      <c r="D389" t="s">
        <v>219</v>
      </c>
      <c r="E389">
        <v>1343</v>
      </c>
      <c r="F389" t="s">
        <v>1097</v>
      </c>
      <c r="G389">
        <v>12</v>
      </c>
      <c r="H389" s="5" t="s">
        <v>1855</v>
      </c>
      <c r="I389" s="5" t="s">
        <v>1856</v>
      </c>
    </row>
    <row r="390" spans="1:17" x14ac:dyDescent="0.25">
      <c r="A390">
        <v>1333</v>
      </c>
      <c r="B390" t="s">
        <v>19</v>
      </c>
      <c r="C390" t="s">
        <v>1914</v>
      </c>
      <c r="D390" t="s">
        <v>219</v>
      </c>
      <c r="E390" s="5">
        <v>1345</v>
      </c>
      <c r="F390" s="5" t="s">
        <v>198</v>
      </c>
      <c r="H390" s="8" t="s">
        <v>417</v>
      </c>
      <c r="I390" t="s">
        <v>3378</v>
      </c>
      <c r="J390" t="s">
        <v>3451</v>
      </c>
      <c r="K390" t="s">
        <v>3452</v>
      </c>
      <c r="Q390" t="s">
        <v>3453</v>
      </c>
    </row>
    <row r="391" spans="1:17" x14ac:dyDescent="0.25">
      <c r="A391">
        <v>1333</v>
      </c>
      <c r="B391" t="s">
        <v>19</v>
      </c>
      <c r="C391" t="s">
        <v>1914</v>
      </c>
      <c r="D391" t="s">
        <v>219</v>
      </c>
      <c r="E391" s="5">
        <v>1345</v>
      </c>
      <c r="F391" s="5" t="s">
        <v>198</v>
      </c>
      <c r="H391" t="s">
        <v>725</v>
      </c>
      <c r="I391" t="s">
        <v>3378</v>
      </c>
      <c r="J391" t="s">
        <v>3451</v>
      </c>
      <c r="K391" t="s">
        <v>3452</v>
      </c>
      <c r="Q391" t="s">
        <v>3454</v>
      </c>
    </row>
    <row r="392" spans="1:17" x14ac:dyDescent="0.25">
      <c r="A392">
        <v>1333</v>
      </c>
      <c r="B392" t="s">
        <v>1850</v>
      </c>
      <c r="C392" t="s">
        <v>1810</v>
      </c>
      <c r="D392" t="s">
        <v>219</v>
      </c>
      <c r="E392">
        <v>1343</v>
      </c>
      <c r="F392" t="s">
        <v>1097</v>
      </c>
      <c r="G392">
        <v>12</v>
      </c>
      <c r="H392" s="5" t="s">
        <v>1853</v>
      </c>
      <c r="I392" s="5" t="s">
        <v>1854</v>
      </c>
    </row>
    <row r="393" spans="1:17" x14ac:dyDescent="0.25">
      <c r="A393">
        <v>1333</v>
      </c>
      <c r="B393" t="s">
        <v>1850</v>
      </c>
      <c r="C393" t="s">
        <v>1810</v>
      </c>
      <c r="D393" t="s">
        <v>219</v>
      </c>
      <c r="E393">
        <v>1343</v>
      </c>
      <c r="F393" t="s">
        <v>1097</v>
      </c>
      <c r="G393">
        <v>12</v>
      </c>
      <c r="H393" s="5" t="s">
        <v>1852</v>
      </c>
      <c r="I393" s="5" t="s">
        <v>1812</v>
      </c>
    </row>
    <row r="394" spans="1:17" x14ac:dyDescent="0.25">
      <c r="A394">
        <v>1341</v>
      </c>
      <c r="B394" t="s">
        <v>19</v>
      </c>
      <c r="C394" t="s">
        <v>1810</v>
      </c>
      <c r="D394" t="s">
        <v>219</v>
      </c>
      <c r="E394">
        <v>1343</v>
      </c>
      <c r="F394" t="s">
        <v>1097</v>
      </c>
      <c r="G394">
        <v>12</v>
      </c>
      <c r="H394" s="5" t="s">
        <v>2396</v>
      </c>
      <c r="I394" s="5" t="s">
        <v>1865</v>
      </c>
    </row>
    <row r="395" spans="1:17" x14ac:dyDescent="0.25">
      <c r="A395">
        <v>1341</v>
      </c>
      <c r="B395" t="s">
        <v>19</v>
      </c>
      <c r="C395" t="s">
        <v>1810</v>
      </c>
      <c r="D395" t="s">
        <v>219</v>
      </c>
      <c r="E395">
        <v>1343</v>
      </c>
      <c r="F395" t="s">
        <v>1097</v>
      </c>
      <c r="G395">
        <v>12</v>
      </c>
      <c r="H395" s="5" t="s">
        <v>645</v>
      </c>
      <c r="I395" s="5" t="s">
        <v>1864</v>
      </c>
    </row>
    <row r="396" spans="1:17" x14ac:dyDescent="0.25">
      <c r="A396">
        <v>1341</v>
      </c>
      <c r="B396" t="s">
        <v>19</v>
      </c>
      <c r="C396" t="s">
        <v>1810</v>
      </c>
      <c r="D396" t="s">
        <v>219</v>
      </c>
      <c r="E396">
        <v>1343</v>
      </c>
      <c r="F396" t="s">
        <v>1097</v>
      </c>
      <c r="G396">
        <v>12</v>
      </c>
      <c r="H396" s="5" t="s">
        <v>645</v>
      </c>
      <c r="I396" s="5" t="s">
        <v>1862</v>
      </c>
    </row>
    <row r="397" spans="1:17" x14ac:dyDescent="0.25">
      <c r="A397">
        <v>1341</v>
      </c>
      <c r="B397" t="s">
        <v>19</v>
      </c>
      <c r="C397" t="s">
        <v>1810</v>
      </c>
      <c r="D397" t="s">
        <v>219</v>
      </c>
      <c r="E397">
        <v>1343</v>
      </c>
      <c r="F397" t="s">
        <v>1097</v>
      </c>
      <c r="G397">
        <v>12</v>
      </c>
      <c r="H397" s="5" t="s">
        <v>645</v>
      </c>
      <c r="I397" s="5" t="s">
        <v>1863</v>
      </c>
    </row>
    <row r="398" spans="1:17" x14ac:dyDescent="0.25">
      <c r="A398">
        <v>1341</v>
      </c>
      <c r="B398" t="s">
        <v>19</v>
      </c>
      <c r="C398" t="s">
        <v>1810</v>
      </c>
      <c r="D398" t="s">
        <v>219</v>
      </c>
      <c r="E398">
        <v>1343</v>
      </c>
      <c r="F398" t="s">
        <v>1097</v>
      </c>
      <c r="G398">
        <v>12</v>
      </c>
      <c r="H398" s="8" t="s">
        <v>417</v>
      </c>
      <c r="I398" s="5" t="s">
        <v>1866</v>
      </c>
    </row>
    <row r="399" spans="1:17" x14ac:dyDescent="0.25">
      <c r="A399">
        <v>1341</v>
      </c>
      <c r="B399" t="s">
        <v>19</v>
      </c>
      <c r="C399" t="s">
        <v>1810</v>
      </c>
      <c r="D399" t="s">
        <v>219</v>
      </c>
      <c r="E399">
        <v>1343</v>
      </c>
      <c r="F399" t="s">
        <v>1097</v>
      </c>
      <c r="G399">
        <v>12</v>
      </c>
      <c r="H399" s="5" t="s">
        <v>645</v>
      </c>
      <c r="I399" s="5" t="s">
        <v>1861</v>
      </c>
    </row>
    <row r="400" spans="1:17" x14ac:dyDescent="0.25">
      <c r="A400">
        <v>1341</v>
      </c>
      <c r="B400" t="s">
        <v>19</v>
      </c>
      <c r="C400" t="s">
        <v>1810</v>
      </c>
      <c r="D400" t="s">
        <v>219</v>
      </c>
      <c r="E400">
        <v>1343</v>
      </c>
      <c r="F400" t="s">
        <v>1097</v>
      </c>
      <c r="G400">
        <v>12</v>
      </c>
      <c r="H400" s="5" t="s">
        <v>645</v>
      </c>
      <c r="I400" s="5" t="s">
        <v>1830</v>
      </c>
    </row>
    <row r="401" spans="1:11" x14ac:dyDescent="0.25">
      <c r="A401">
        <v>1341</v>
      </c>
      <c r="B401" t="s">
        <v>19</v>
      </c>
      <c r="C401" t="s">
        <v>1810</v>
      </c>
      <c r="D401" t="s">
        <v>219</v>
      </c>
      <c r="E401">
        <v>1343</v>
      </c>
      <c r="F401" t="s">
        <v>1097</v>
      </c>
      <c r="G401">
        <v>12</v>
      </c>
      <c r="H401" s="5" t="s">
        <v>645</v>
      </c>
      <c r="I401" s="5" t="s">
        <v>1860</v>
      </c>
    </row>
    <row r="402" spans="1:11" x14ac:dyDescent="0.25">
      <c r="A402">
        <v>1341</v>
      </c>
      <c r="B402" t="s">
        <v>19</v>
      </c>
      <c r="C402" t="s">
        <v>1810</v>
      </c>
      <c r="D402" t="s">
        <v>219</v>
      </c>
      <c r="E402">
        <v>1343</v>
      </c>
      <c r="F402" t="s">
        <v>1097</v>
      </c>
      <c r="G402">
        <v>12</v>
      </c>
      <c r="H402" s="5" t="s">
        <v>389</v>
      </c>
      <c r="J402" t="s">
        <v>1819</v>
      </c>
      <c r="K402" t="s">
        <v>1859</v>
      </c>
    </row>
    <row r="403" spans="1:11" x14ac:dyDescent="0.25">
      <c r="A403">
        <v>1342</v>
      </c>
      <c r="B403" t="s">
        <v>465</v>
      </c>
      <c r="C403" t="s">
        <v>1810</v>
      </c>
      <c r="D403" t="s">
        <v>219</v>
      </c>
      <c r="E403">
        <v>1343</v>
      </c>
      <c r="F403" t="s">
        <v>1097</v>
      </c>
      <c r="G403">
        <v>12</v>
      </c>
      <c r="H403" s="8" t="s">
        <v>417</v>
      </c>
      <c r="I403" t="s">
        <v>1883</v>
      </c>
    </row>
    <row r="404" spans="1:11" x14ac:dyDescent="0.25">
      <c r="A404">
        <v>1342</v>
      </c>
      <c r="B404" t="s">
        <v>465</v>
      </c>
      <c r="C404" t="s">
        <v>1810</v>
      </c>
      <c r="D404" t="s">
        <v>219</v>
      </c>
      <c r="E404">
        <v>1343</v>
      </c>
      <c r="F404" t="s">
        <v>1097</v>
      </c>
      <c r="G404">
        <v>12</v>
      </c>
      <c r="H404" t="s">
        <v>3269</v>
      </c>
      <c r="I404" s="5" t="s">
        <v>1878</v>
      </c>
    </row>
    <row r="405" spans="1:11" x14ac:dyDescent="0.25">
      <c r="A405">
        <v>1342</v>
      </c>
      <c r="B405" t="s">
        <v>465</v>
      </c>
      <c r="C405" t="s">
        <v>1810</v>
      </c>
      <c r="D405" t="s">
        <v>219</v>
      </c>
      <c r="E405">
        <v>1343</v>
      </c>
      <c r="F405" t="s">
        <v>1097</v>
      </c>
      <c r="G405">
        <v>12</v>
      </c>
      <c r="H405" s="5" t="s">
        <v>645</v>
      </c>
      <c r="I405" s="5" t="s">
        <v>1876</v>
      </c>
    </row>
    <row r="406" spans="1:11" x14ac:dyDescent="0.25">
      <c r="A406">
        <v>1342</v>
      </c>
      <c r="B406" t="s">
        <v>465</v>
      </c>
      <c r="C406" t="s">
        <v>1810</v>
      </c>
      <c r="D406" t="s">
        <v>219</v>
      </c>
      <c r="E406">
        <v>1343</v>
      </c>
      <c r="F406" t="s">
        <v>1097</v>
      </c>
      <c r="G406">
        <v>12</v>
      </c>
      <c r="H406" s="8" t="s">
        <v>398</v>
      </c>
      <c r="I406" s="5" t="s">
        <v>89</v>
      </c>
    </row>
    <row r="407" spans="1:11" x14ac:dyDescent="0.25">
      <c r="A407">
        <v>1342</v>
      </c>
      <c r="B407" t="s">
        <v>465</v>
      </c>
      <c r="C407" t="s">
        <v>1810</v>
      </c>
      <c r="D407" t="s">
        <v>219</v>
      </c>
      <c r="E407">
        <v>1343</v>
      </c>
      <c r="F407" t="s">
        <v>1097</v>
      </c>
      <c r="G407">
        <v>12</v>
      </c>
      <c r="H407" s="5" t="s">
        <v>645</v>
      </c>
      <c r="I407" s="5" t="s">
        <v>1879</v>
      </c>
    </row>
    <row r="408" spans="1:11" x14ac:dyDescent="0.25">
      <c r="A408">
        <v>1342</v>
      </c>
      <c r="B408" t="s">
        <v>465</v>
      </c>
      <c r="C408" t="s">
        <v>1810</v>
      </c>
      <c r="D408" t="s">
        <v>219</v>
      </c>
      <c r="E408">
        <v>1343</v>
      </c>
      <c r="F408" t="s">
        <v>1097</v>
      </c>
      <c r="G408">
        <v>12</v>
      </c>
      <c r="H408" s="8" t="s">
        <v>417</v>
      </c>
      <c r="I408" t="s">
        <v>1882</v>
      </c>
    </row>
    <row r="409" spans="1:11" x14ac:dyDescent="0.25">
      <c r="A409">
        <v>1342</v>
      </c>
      <c r="B409" t="s">
        <v>465</v>
      </c>
      <c r="C409" t="s">
        <v>1810</v>
      </c>
      <c r="D409" t="s">
        <v>219</v>
      </c>
      <c r="E409">
        <v>1343</v>
      </c>
      <c r="F409" t="s">
        <v>1097</v>
      </c>
      <c r="G409">
        <v>12</v>
      </c>
      <c r="H409" s="5" t="s">
        <v>645</v>
      </c>
      <c r="I409" s="5" t="s">
        <v>1880</v>
      </c>
    </row>
    <row r="410" spans="1:11" x14ac:dyDescent="0.25">
      <c r="A410">
        <v>1342</v>
      </c>
      <c r="B410" t="s">
        <v>465</v>
      </c>
      <c r="C410" t="s">
        <v>1810</v>
      </c>
      <c r="D410" t="s">
        <v>219</v>
      </c>
      <c r="E410">
        <v>1343</v>
      </c>
      <c r="F410" t="s">
        <v>1097</v>
      </c>
      <c r="G410">
        <v>12</v>
      </c>
      <c r="H410" s="5" t="s">
        <v>645</v>
      </c>
      <c r="I410" s="5" t="s">
        <v>1875</v>
      </c>
    </row>
    <row r="411" spans="1:11" x14ac:dyDescent="0.25">
      <c r="A411">
        <v>1342</v>
      </c>
      <c r="B411" t="s">
        <v>465</v>
      </c>
      <c r="C411" t="s">
        <v>1810</v>
      </c>
      <c r="D411" t="s">
        <v>219</v>
      </c>
      <c r="E411">
        <v>1343</v>
      </c>
      <c r="F411" t="s">
        <v>1097</v>
      </c>
      <c r="G411">
        <v>12</v>
      </c>
      <c r="H411" s="8" t="s">
        <v>398</v>
      </c>
      <c r="I411" t="s">
        <v>1881</v>
      </c>
    </row>
    <row r="412" spans="1:11" x14ac:dyDescent="0.25">
      <c r="A412">
        <v>1342</v>
      </c>
      <c r="B412" t="s">
        <v>465</v>
      </c>
      <c r="C412" t="s">
        <v>1810</v>
      </c>
      <c r="D412" t="s">
        <v>219</v>
      </c>
      <c r="E412">
        <v>1343</v>
      </c>
      <c r="F412" t="s">
        <v>1097</v>
      </c>
      <c r="G412">
        <v>12</v>
      </c>
      <c r="H412" s="5" t="s">
        <v>645</v>
      </c>
      <c r="I412" s="5" t="s">
        <v>1874</v>
      </c>
    </row>
    <row r="413" spans="1:11" x14ac:dyDescent="0.25">
      <c r="A413">
        <v>1342</v>
      </c>
      <c r="B413" t="s">
        <v>465</v>
      </c>
      <c r="C413" t="s">
        <v>1810</v>
      </c>
      <c r="D413" t="s">
        <v>219</v>
      </c>
      <c r="E413">
        <v>1343</v>
      </c>
      <c r="F413" t="s">
        <v>1097</v>
      </c>
      <c r="G413">
        <v>12</v>
      </c>
      <c r="H413" s="5" t="s">
        <v>645</v>
      </c>
      <c r="I413" s="5" t="s">
        <v>1861</v>
      </c>
    </row>
    <row r="414" spans="1:11" x14ac:dyDescent="0.25">
      <c r="A414">
        <v>1342</v>
      </c>
      <c r="B414" t="s">
        <v>465</v>
      </c>
      <c r="C414" t="s">
        <v>1810</v>
      </c>
      <c r="D414" t="s">
        <v>219</v>
      </c>
      <c r="E414">
        <v>1343</v>
      </c>
      <c r="F414" t="s">
        <v>1097</v>
      </c>
      <c r="G414">
        <v>12</v>
      </c>
      <c r="H414" s="5" t="s">
        <v>645</v>
      </c>
      <c r="I414" s="5" t="s">
        <v>1877</v>
      </c>
    </row>
    <row r="415" spans="1:11" x14ac:dyDescent="0.25">
      <c r="A415">
        <v>1361</v>
      </c>
      <c r="B415" t="s">
        <v>465</v>
      </c>
      <c r="C415" t="s">
        <v>1914</v>
      </c>
      <c r="D415" t="s">
        <v>219</v>
      </c>
      <c r="E415">
        <v>1342</v>
      </c>
      <c r="F415" t="s">
        <v>817</v>
      </c>
      <c r="G415">
        <v>12</v>
      </c>
      <c r="H415" t="s">
        <v>1900</v>
      </c>
      <c r="I415" t="s">
        <v>1901</v>
      </c>
    </row>
    <row r="416" spans="1:11" x14ac:dyDescent="0.25">
      <c r="A416">
        <v>1342</v>
      </c>
      <c r="B416" t="s">
        <v>465</v>
      </c>
      <c r="C416" t="s">
        <v>1810</v>
      </c>
      <c r="D416" t="s">
        <v>219</v>
      </c>
      <c r="E416">
        <v>1343</v>
      </c>
      <c r="F416" t="s">
        <v>1097</v>
      </c>
      <c r="G416">
        <v>12</v>
      </c>
      <c r="H416" t="s">
        <v>2396</v>
      </c>
      <c r="I416" t="s">
        <v>1810</v>
      </c>
    </row>
    <row r="417" spans="1:18" x14ac:dyDescent="0.25">
      <c r="A417">
        <v>1342</v>
      </c>
      <c r="B417" t="s">
        <v>465</v>
      </c>
      <c r="C417" t="s">
        <v>1810</v>
      </c>
      <c r="D417" t="s">
        <v>219</v>
      </c>
      <c r="E417">
        <v>1343</v>
      </c>
      <c r="F417" t="s">
        <v>1097</v>
      </c>
      <c r="G417">
        <v>12</v>
      </c>
      <c r="H417" t="s">
        <v>3874</v>
      </c>
      <c r="I417" t="s">
        <v>1810</v>
      </c>
    </row>
    <row r="418" spans="1:18" x14ac:dyDescent="0.25">
      <c r="A418">
        <v>1343</v>
      </c>
      <c r="B418" t="s">
        <v>3459</v>
      </c>
      <c r="C418" t="s">
        <v>1810</v>
      </c>
      <c r="D418" t="s">
        <v>220</v>
      </c>
      <c r="E418">
        <v>1343</v>
      </c>
      <c r="F418" t="s">
        <v>1097</v>
      </c>
      <c r="G418">
        <v>12</v>
      </c>
      <c r="H418" t="s">
        <v>389</v>
      </c>
      <c r="J418" t="s">
        <v>1886</v>
      </c>
    </row>
    <row r="419" spans="1:18" x14ac:dyDescent="0.25">
      <c r="A419">
        <v>1361</v>
      </c>
      <c r="B419" t="s">
        <v>465</v>
      </c>
      <c r="C419" t="s">
        <v>1914</v>
      </c>
      <c r="D419" t="s">
        <v>219</v>
      </c>
      <c r="E419">
        <v>1342</v>
      </c>
      <c r="F419" t="s">
        <v>817</v>
      </c>
      <c r="G419">
        <v>12</v>
      </c>
      <c r="H419" t="s">
        <v>389</v>
      </c>
      <c r="J419" t="s">
        <v>1903</v>
      </c>
      <c r="Q419" t="s">
        <v>1902</v>
      </c>
    </row>
    <row r="420" spans="1:18" x14ac:dyDescent="0.25">
      <c r="A420">
        <v>1343</v>
      </c>
      <c r="B420" t="s">
        <v>3459</v>
      </c>
      <c r="C420" t="s">
        <v>1810</v>
      </c>
      <c r="D420" t="s">
        <v>220</v>
      </c>
      <c r="E420">
        <v>1343</v>
      </c>
      <c r="F420" t="s">
        <v>1097</v>
      </c>
      <c r="G420">
        <v>12</v>
      </c>
      <c r="H420" s="13" t="s">
        <v>488</v>
      </c>
      <c r="K420" t="s">
        <v>1887</v>
      </c>
      <c r="L420" t="s">
        <v>15</v>
      </c>
    </row>
    <row r="421" spans="1:18" x14ac:dyDescent="0.25">
      <c r="A421">
        <v>1361</v>
      </c>
      <c r="B421" t="s">
        <v>465</v>
      </c>
      <c r="C421" t="s">
        <v>1914</v>
      </c>
      <c r="D421" t="s">
        <v>219</v>
      </c>
      <c r="E421">
        <v>1342</v>
      </c>
      <c r="F421" t="s">
        <v>817</v>
      </c>
      <c r="G421">
        <v>12</v>
      </c>
      <c r="H421" t="s">
        <v>488</v>
      </c>
      <c r="K421" t="s">
        <v>1889</v>
      </c>
      <c r="L421" t="s">
        <v>1890</v>
      </c>
      <c r="Q421" t="s">
        <v>1888</v>
      </c>
    </row>
    <row r="422" spans="1:18" x14ac:dyDescent="0.25">
      <c r="A422">
        <v>1361</v>
      </c>
      <c r="B422" t="s">
        <v>465</v>
      </c>
      <c r="C422" t="s">
        <v>1914</v>
      </c>
      <c r="D422" t="s">
        <v>219</v>
      </c>
      <c r="E422">
        <v>1342</v>
      </c>
      <c r="F422" t="s">
        <v>817</v>
      </c>
      <c r="G422">
        <v>12</v>
      </c>
      <c r="H422" s="8" t="s">
        <v>398</v>
      </c>
      <c r="K422" t="s">
        <v>1892</v>
      </c>
      <c r="L422" t="s">
        <v>1893</v>
      </c>
      <c r="Q422" t="s">
        <v>1891</v>
      </c>
    </row>
    <row r="423" spans="1:18" x14ac:dyDescent="0.25">
      <c r="A423">
        <v>1361</v>
      </c>
      <c r="B423" t="s">
        <v>465</v>
      </c>
      <c r="C423" t="s">
        <v>1914</v>
      </c>
      <c r="D423" t="s">
        <v>219</v>
      </c>
      <c r="E423">
        <v>1342</v>
      </c>
      <c r="F423" t="s">
        <v>817</v>
      </c>
      <c r="G423">
        <v>12</v>
      </c>
      <c r="H423" s="8" t="s">
        <v>398</v>
      </c>
      <c r="K423" t="s">
        <v>1896</v>
      </c>
      <c r="L423" t="s">
        <v>380</v>
      </c>
      <c r="Q423" t="s">
        <v>2637</v>
      </c>
    </row>
    <row r="424" spans="1:18" x14ac:dyDescent="0.25">
      <c r="A424">
        <v>1361</v>
      </c>
      <c r="B424" t="s">
        <v>465</v>
      </c>
      <c r="C424" t="s">
        <v>1914</v>
      </c>
      <c r="D424" t="s">
        <v>219</v>
      </c>
      <c r="E424">
        <v>1342</v>
      </c>
      <c r="F424" t="s">
        <v>817</v>
      </c>
      <c r="G424">
        <v>12</v>
      </c>
      <c r="H424" s="8" t="s">
        <v>398</v>
      </c>
      <c r="K424" t="s">
        <v>1898</v>
      </c>
      <c r="L424" t="s">
        <v>1899</v>
      </c>
      <c r="Q424" t="s">
        <v>1897</v>
      </c>
    </row>
    <row r="425" spans="1:18" x14ac:dyDescent="0.25">
      <c r="A425">
        <v>1342</v>
      </c>
      <c r="B425" t="s">
        <v>465</v>
      </c>
      <c r="C425" t="s">
        <v>1810</v>
      </c>
      <c r="D425" t="s">
        <v>219</v>
      </c>
      <c r="E425">
        <v>1343</v>
      </c>
      <c r="F425" t="s">
        <v>1097</v>
      </c>
      <c r="G425">
        <v>12</v>
      </c>
      <c r="H425" t="s">
        <v>488</v>
      </c>
      <c r="K425" t="s">
        <v>1269</v>
      </c>
      <c r="L425" t="s">
        <v>1904</v>
      </c>
      <c r="M425" t="s">
        <v>1905</v>
      </c>
      <c r="N425" t="s">
        <v>1906</v>
      </c>
    </row>
    <row r="426" spans="1:18" x14ac:dyDescent="0.25">
      <c r="A426">
        <v>1351</v>
      </c>
      <c r="B426" t="s">
        <v>465</v>
      </c>
      <c r="C426" t="s">
        <v>1633</v>
      </c>
      <c r="D426" t="s">
        <v>219</v>
      </c>
      <c r="E426">
        <v>1343</v>
      </c>
      <c r="F426" t="s">
        <v>383</v>
      </c>
      <c r="G426">
        <v>22</v>
      </c>
      <c r="H426" t="s">
        <v>292</v>
      </c>
      <c r="I426" t="s">
        <v>1910</v>
      </c>
    </row>
    <row r="427" spans="1:18" x14ac:dyDescent="0.25">
      <c r="A427">
        <v>1361</v>
      </c>
      <c r="B427" t="s">
        <v>465</v>
      </c>
      <c r="C427" t="s">
        <v>1914</v>
      </c>
      <c r="D427" t="s">
        <v>219</v>
      </c>
      <c r="E427">
        <v>1342</v>
      </c>
      <c r="F427" t="s">
        <v>817</v>
      </c>
      <c r="G427">
        <v>12</v>
      </c>
      <c r="H427" s="8" t="s">
        <v>417</v>
      </c>
      <c r="I427" t="s">
        <v>1944</v>
      </c>
      <c r="K427" t="s">
        <v>1946</v>
      </c>
      <c r="L427" t="s">
        <v>1947</v>
      </c>
      <c r="M427" t="s">
        <v>1948</v>
      </c>
      <c r="Q427" t="s">
        <v>1945</v>
      </c>
    </row>
    <row r="428" spans="1:18" x14ac:dyDescent="0.25">
      <c r="A428">
        <v>1361</v>
      </c>
      <c r="B428" t="s">
        <v>465</v>
      </c>
      <c r="C428" t="s">
        <v>1914</v>
      </c>
      <c r="D428" t="s">
        <v>219</v>
      </c>
      <c r="E428">
        <v>1342</v>
      </c>
      <c r="F428" t="s">
        <v>817</v>
      </c>
      <c r="G428">
        <v>12</v>
      </c>
      <c r="H428" t="s">
        <v>1934</v>
      </c>
      <c r="I428" t="s">
        <v>730</v>
      </c>
      <c r="Q428" t="s">
        <v>1935</v>
      </c>
    </row>
    <row r="429" spans="1:18" x14ac:dyDescent="0.25">
      <c r="A429">
        <v>1361</v>
      </c>
      <c r="B429" t="s">
        <v>465</v>
      </c>
      <c r="C429" t="s">
        <v>1914</v>
      </c>
      <c r="D429" t="s">
        <v>219</v>
      </c>
      <c r="E429">
        <v>1342</v>
      </c>
      <c r="F429" t="s">
        <v>817</v>
      </c>
      <c r="G429">
        <v>12</v>
      </c>
      <c r="H429" t="s">
        <v>1816</v>
      </c>
      <c r="I429" t="s">
        <v>1937</v>
      </c>
      <c r="K429" t="s">
        <v>1939</v>
      </c>
      <c r="L429" t="s">
        <v>1940</v>
      </c>
      <c r="Q429" t="s">
        <v>1938</v>
      </c>
      <c r="R429" t="s">
        <v>463</v>
      </c>
    </row>
    <row r="430" spans="1:18" x14ac:dyDescent="0.25">
      <c r="A430">
        <v>1361</v>
      </c>
      <c r="B430" t="s">
        <v>465</v>
      </c>
      <c r="C430" t="s">
        <v>1914</v>
      </c>
      <c r="D430" t="s">
        <v>219</v>
      </c>
      <c r="E430">
        <v>1342</v>
      </c>
      <c r="F430" t="s">
        <v>817</v>
      </c>
      <c r="G430">
        <v>12</v>
      </c>
      <c r="H430" t="s">
        <v>540</v>
      </c>
      <c r="J430" t="s">
        <v>1918</v>
      </c>
    </row>
    <row r="431" spans="1:18" x14ac:dyDescent="0.25">
      <c r="A431">
        <v>1361</v>
      </c>
      <c r="B431" t="s">
        <v>465</v>
      </c>
      <c r="C431" t="s">
        <v>1914</v>
      </c>
      <c r="D431" t="s">
        <v>219</v>
      </c>
      <c r="E431">
        <v>1342</v>
      </c>
      <c r="F431" t="s">
        <v>817</v>
      </c>
      <c r="G431">
        <v>12</v>
      </c>
      <c r="H431" s="8" t="s">
        <v>398</v>
      </c>
      <c r="J431" t="s">
        <v>1961</v>
      </c>
      <c r="K431" t="s">
        <v>1962</v>
      </c>
      <c r="L431" t="s">
        <v>1963</v>
      </c>
      <c r="Q431" t="s">
        <v>1960</v>
      </c>
    </row>
    <row r="432" spans="1:18" x14ac:dyDescent="0.25">
      <c r="A432">
        <v>1361</v>
      </c>
      <c r="B432" t="s">
        <v>465</v>
      </c>
      <c r="C432" t="s">
        <v>1914</v>
      </c>
      <c r="D432" t="s">
        <v>219</v>
      </c>
      <c r="E432">
        <v>1342</v>
      </c>
      <c r="F432" t="s">
        <v>817</v>
      </c>
      <c r="G432">
        <v>12</v>
      </c>
      <c r="H432" t="s">
        <v>679</v>
      </c>
      <c r="J432" t="s">
        <v>1961</v>
      </c>
      <c r="K432" t="s">
        <v>1962</v>
      </c>
      <c r="L432" t="s">
        <v>1963</v>
      </c>
      <c r="Q432" t="s">
        <v>1960</v>
      </c>
    </row>
    <row r="433" spans="1:17" x14ac:dyDescent="0.25">
      <c r="A433">
        <v>1361</v>
      </c>
      <c r="B433" t="s">
        <v>465</v>
      </c>
      <c r="C433" t="s">
        <v>1914</v>
      </c>
      <c r="D433" t="s">
        <v>219</v>
      </c>
      <c r="E433">
        <v>1342</v>
      </c>
      <c r="F433" t="s">
        <v>817</v>
      </c>
      <c r="G433">
        <v>12</v>
      </c>
      <c r="H433" s="8" t="s">
        <v>398</v>
      </c>
      <c r="J433" t="s">
        <v>1969</v>
      </c>
      <c r="K433" t="s">
        <v>1970</v>
      </c>
      <c r="L433" t="s">
        <v>1971</v>
      </c>
      <c r="Q433" t="s">
        <v>1972</v>
      </c>
    </row>
    <row r="434" spans="1:17" x14ac:dyDescent="0.25">
      <c r="A434">
        <v>1361</v>
      </c>
      <c r="B434" t="s">
        <v>465</v>
      </c>
      <c r="C434" t="s">
        <v>1914</v>
      </c>
      <c r="D434" t="s">
        <v>219</v>
      </c>
      <c r="E434">
        <v>1342</v>
      </c>
      <c r="F434" t="s">
        <v>817</v>
      </c>
      <c r="G434">
        <v>12</v>
      </c>
      <c r="H434" s="8" t="s">
        <v>398</v>
      </c>
      <c r="J434" t="s">
        <v>1925</v>
      </c>
      <c r="K434" t="s">
        <v>1926</v>
      </c>
    </row>
    <row r="435" spans="1:17" x14ac:dyDescent="0.25">
      <c r="A435">
        <v>1361</v>
      </c>
      <c r="B435" t="s">
        <v>465</v>
      </c>
      <c r="C435" t="s">
        <v>1914</v>
      </c>
      <c r="D435" t="s">
        <v>219</v>
      </c>
      <c r="E435">
        <v>1342</v>
      </c>
      <c r="F435" t="s">
        <v>817</v>
      </c>
      <c r="G435">
        <v>12</v>
      </c>
      <c r="H435" s="8" t="s">
        <v>398</v>
      </c>
      <c r="J435" t="s">
        <v>1927</v>
      </c>
      <c r="K435" t="s">
        <v>1928</v>
      </c>
      <c r="L435" t="s">
        <v>1929</v>
      </c>
    </row>
    <row r="436" spans="1:17" x14ac:dyDescent="0.25">
      <c r="A436">
        <v>1361</v>
      </c>
      <c r="B436" t="s">
        <v>465</v>
      </c>
      <c r="C436" t="s">
        <v>1914</v>
      </c>
      <c r="D436" t="s">
        <v>219</v>
      </c>
      <c r="E436">
        <v>1342</v>
      </c>
      <c r="F436" t="s">
        <v>817</v>
      </c>
      <c r="G436">
        <v>12</v>
      </c>
      <c r="H436" t="s">
        <v>1967</v>
      </c>
      <c r="J436" t="s">
        <v>1964</v>
      </c>
      <c r="K436" t="s">
        <v>1965</v>
      </c>
      <c r="L436" t="s">
        <v>1966</v>
      </c>
      <c r="Q436" t="s">
        <v>1968</v>
      </c>
    </row>
    <row r="437" spans="1:17" x14ac:dyDescent="0.25">
      <c r="A437">
        <v>1361</v>
      </c>
      <c r="B437" t="s">
        <v>465</v>
      </c>
      <c r="C437" t="s">
        <v>1914</v>
      </c>
      <c r="D437" t="s">
        <v>219</v>
      </c>
      <c r="E437">
        <v>1342</v>
      </c>
      <c r="F437" t="s">
        <v>817</v>
      </c>
      <c r="G437">
        <v>12</v>
      </c>
      <c r="H437" t="s">
        <v>1816</v>
      </c>
      <c r="J437" t="s">
        <v>1964</v>
      </c>
      <c r="K437" t="s">
        <v>380</v>
      </c>
      <c r="Q437" t="s">
        <v>1968</v>
      </c>
    </row>
    <row r="438" spans="1:17" x14ac:dyDescent="0.25">
      <c r="A438">
        <v>1361</v>
      </c>
      <c r="B438" t="s">
        <v>465</v>
      </c>
      <c r="C438" t="s">
        <v>1914</v>
      </c>
      <c r="D438" t="s">
        <v>219</v>
      </c>
      <c r="E438">
        <v>1342</v>
      </c>
      <c r="F438" t="s">
        <v>817</v>
      </c>
      <c r="G438">
        <v>12</v>
      </c>
      <c r="H438" t="s">
        <v>3618</v>
      </c>
      <c r="K438" t="s">
        <v>1919</v>
      </c>
      <c r="L438" t="s">
        <v>1920</v>
      </c>
      <c r="M438" t="s">
        <v>1921</v>
      </c>
    </row>
    <row r="439" spans="1:17" x14ac:dyDescent="0.25">
      <c r="A439">
        <v>1361</v>
      </c>
      <c r="B439" t="s">
        <v>465</v>
      </c>
      <c r="C439" t="s">
        <v>1914</v>
      </c>
      <c r="D439" t="s">
        <v>219</v>
      </c>
      <c r="E439">
        <v>1342</v>
      </c>
      <c r="F439" t="s">
        <v>817</v>
      </c>
      <c r="G439">
        <v>12</v>
      </c>
      <c r="H439" t="s">
        <v>488</v>
      </c>
      <c r="K439" t="s">
        <v>1923</v>
      </c>
      <c r="L439" t="s">
        <v>1924</v>
      </c>
      <c r="Q439" t="s">
        <v>1922</v>
      </c>
    </row>
    <row r="440" spans="1:17" x14ac:dyDescent="0.25">
      <c r="A440">
        <v>1361</v>
      </c>
      <c r="B440" t="s">
        <v>465</v>
      </c>
      <c r="C440" t="s">
        <v>1914</v>
      </c>
      <c r="D440" t="s">
        <v>219</v>
      </c>
      <c r="E440">
        <v>1342</v>
      </c>
      <c r="F440" t="s">
        <v>817</v>
      </c>
      <c r="G440">
        <v>12</v>
      </c>
      <c r="H440" t="s">
        <v>469</v>
      </c>
      <c r="Q440" t="s">
        <v>1933</v>
      </c>
    </row>
    <row r="441" spans="1:17" x14ac:dyDescent="0.25">
      <c r="A441">
        <v>1361</v>
      </c>
      <c r="B441" t="s">
        <v>465</v>
      </c>
      <c r="C441" t="s">
        <v>1914</v>
      </c>
      <c r="D441" t="s">
        <v>219</v>
      </c>
      <c r="E441">
        <v>1342</v>
      </c>
      <c r="F441" t="s">
        <v>817</v>
      </c>
      <c r="G441">
        <v>12</v>
      </c>
      <c r="H441" s="5" t="s">
        <v>725</v>
      </c>
      <c r="K441" t="s">
        <v>1941</v>
      </c>
      <c r="L441" t="s">
        <v>1942</v>
      </c>
      <c r="M441" t="s">
        <v>1943</v>
      </c>
    </row>
    <row r="442" spans="1:17" x14ac:dyDescent="0.25">
      <c r="A442">
        <v>1361</v>
      </c>
      <c r="B442" t="s">
        <v>465</v>
      </c>
      <c r="C442" t="s">
        <v>1914</v>
      </c>
      <c r="D442" t="s">
        <v>219</v>
      </c>
      <c r="E442">
        <v>1342</v>
      </c>
      <c r="F442" t="s">
        <v>817</v>
      </c>
      <c r="G442">
        <v>12</v>
      </c>
      <c r="H442" t="s">
        <v>227</v>
      </c>
      <c r="K442" t="s">
        <v>1941</v>
      </c>
      <c r="L442" t="s">
        <v>1942</v>
      </c>
      <c r="M442" t="s">
        <v>1943</v>
      </c>
    </row>
    <row r="443" spans="1:17" x14ac:dyDescent="0.25">
      <c r="A443">
        <v>1361</v>
      </c>
      <c r="B443" t="s">
        <v>465</v>
      </c>
      <c r="C443" t="s">
        <v>1914</v>
      </c>
      <c r="D443" t="s">
        <v>219</v>
      </c>
      <c r="E443">
        <v>1342</v>
      </c>
      <c r="F443" t="s">
        <v>817</v>
      </c>
      <c r="G443">
        <v>12</v>
      </c>
      <c r="H443" s="8" t="s">
        <v>398</v>
      </c>
      <c r="K443" t="s">
        <v>1950</v>
      </c>
      <c r="L443" t="s">
        <v>1951</v>
      </c>
      <c r="Q443" t="s">
        <v>1949</v>
      </c>
    </row>
    <row r="444" spans="1:17" x14ac:dyDescent="0.25">
      <c r="A444">
        <v>1361</v>
      </c>
      <c r="B444" t="s">
        <v>465</v>
      </c>
      <c r="C444" t="s">
        <v>1914</v>
      </c>
      <c r="D444" t="s">
        <v>219</v>
      </c>
      <c r="E444">
        <v>1342</v>
      </c>
      <c r="F444" t="s">
        <v>817</v>
      </c>
      <c r="G444">
        <v>12</v>
      </c>
      <c r="H444" t="s">
        <v>488</v>
      </c>
      <c r="K444" t="s">
        <v>1953</v>
      </c>
      <c r="L444" t="s">
        <v>1954</v>
      </c>
      <c r="Q444" t="s">
        <v>1952</v>
      </c>
    </row>
    <row r="445" spans="1:17" x14ac:dyDescent="0.25">
      <c r="A445">
        <v>1361</v>
      </c>
      <c r="B445" t="s">
        <v>465</v>
      </c>
      <c r="C445" t="s">
        <v>1914</v>
      </c>
      <c r="D445" t="s">
        <v>219</v>
      </c>
      <c r="E445">
        <v>1342</v>
      </c>
      <c r="F445" t="s">
        <v>817</v>
      </c>
      <c r="G445">
        <v>12</v>
      </c>
      <c r="H445" s="8" t="s">
        <v>398</v>
      </c>
      <c r="K445" t="s">
        <v>1956</v>
      </c>
      <c r="L445" t="s">
        <v>1957</v>
      </c>
      <c r="Q445" t="s">
        <v>1955</v>
      </c>
    </row>
    <row r="446" spans="1:17" x14ac:dyDescent="0.25">
      <c r="A446">
        <v>1361</v>
      </c>
      <c r="B446" t="s">
        <v>465</v>
      </c>
      <c r="C446" t="s">
        <v>1914</v>
      </c>
      <c r="D446" t="s">
        <v>219</v>
      </c>
      <c r="E446">
        <v>1342</v>
      </c>
      <c r="F446" t="s">
        <v>817</v>
      </c>
      <c r="G446">
        <v>12</v>
      </c>
      <c r="H446" t="s">
        <v>488</v>
      </c>
      <c r="K446" t="s">
        <v>1958</v>
      </c>
      <c r="L446" t="s">
        <v>1959</v>
      </c>
      <c r="Q446" t="s">
        <v>1955</v>
      </c>
    </row>
    <row r="447" spans="1:17" x14ac:dyDescent="0.25">
      <c r="A447">
        <v>1371</v>
      </c>
      <c r="B447" t="s">
        <v>11</v>
      </c>
      <c r="C447" t="s">
        <v>603</v>
      </c>
      <c r="D447" t="s">
        <v>219</v>
      </c>
      <c r="E447">
        <v>1343</v>
      </c>
      <c r="F447" t="s">
        <v>1038</v>
      </c>
      <c r="G447">
        <v>26</v>
      </c>
      <c r="H447" t="s">
        <v>725</v>
      </c>
      <c r="I447" t="s">
        <v>1985</v>
      </c>
      <c r="J447" t="s">
        <v>1986</v>
      </c>
      <c r="K447" t="s">
        <v>2002</v>
      </c>
    </row>
    <row r="448" spans="1:17" x14ac:dyDescent="0.25">
      <c r="A448">
        <v>1371</v>
      </c>
      <c r="B448" t="s">
        <v>11</v>
      </c>
      <c r="C448" t="s">
        <v>603</v>
      </c>
      <c r="D448" t="s">
        <v>219</v>
      </c>
      <c r="E448">
        <v>1343</v>
      </c>
      <c r="F448" t="s">
        <v>1038</v>
      </c>
      <c r="G448">
        <v>26</v>
      </c>
      <c r="H448" t="s">
        <v>725</v>
      </c>
      <c r="I448" t="s">
        <v>1994</v>
      </c>
      <c r="K448" t="s">
        <v>1995</v>
      </c>
      <c r="L448" t="s">
        <v>1996</v>
      </c>
      <c r="M448" t="s">
        <v>1997</v>
      </c>
    </row>
    <row r="449" spans="1:17" x14ac:dyDescent="0.25">
      <c r="A449">
        <v>1371</v>
      </c>
      <c r="B449" t="s">
        <v>11</v>
      </c>
      <c r="C449" t="s">
        <v>603</v>
      </c>
      <c r="D449" t="s">
        <v>219</v>
      </c>
      <c r="E449">
        <v>1343</v>
      </c>
      <c r="F449" t="s">
        <v>1038</v>
      </c>
      <c r="G449">
        <v>26</v>
      </c>
      <c r="H449" t="s">
        <v>725</v>
      </c>
      <c r="I449" t="s">
        <v>1998</v>
      </c>
      <c r="K449" t="s">
        <v>1999</v>
      </c>
      <c r="L449" t="s">
        <v>2000</v>
      </c>
    </row>
    <row r="450" spans="1:17" x14ac:dyDescent="0.25">
      <c r="A450">
        <v>1371</v>
      </c>
      <c r="B450" t="s">
        <v>11</v>
      </c>
      <c r="C450" t="s">
        <v>603</v>
      </c>
      <c r="D450" t="s">
        <v>219</v>
      </c>
      <c r="E450">
        <v>1343</v>
      </c>
      <c r="F450" t="s">
        <v>1038</v>
      </c>
      <c r="G450">
        <v>26</v>
      </c>
      <c r="H450" t="s">
        <v>645</v>
      </c>
      <c r="I450" t="s">
        <v>2001</v>
      </c>
      <c r="K450" t="s">
        <v>2000</v>
      </c>
      <c r="L450" t="s">
        <v>2006</v>
      </c>
    </row>
    <row r="451" spans="1:17" x14ac:dyDescent="0.25">
      <c r="A451">
        <v>1371</v>
      </c>
      <c r="B451" t="s">
        <v>11</v>
      </c>
      <c r="C451" t="s">
        <v>603</v>
      </c>
      <c r="D451" t="s">
        <v>219</v>
      </c>
      <c r="E451">
        <v>1343</v>
      </c>
      <c r="F451" t="s">
        <v>1038</v>
      </c>
      <c r="G451">
        <v>26</v>
      </c>
      <c r="H451" t="s">
        <v>725</v>
      </c>
      <c r="I451" t="s">
        <v>728</v>
      </c>
      <c r="K451" t="s">
        <v>2003</v>
      </c>
      <c r="L451" t="s">
        <v>2005</v>
      </c>
    </row>
    <row r="452" spans="1:17" x14ac:dyDescent="0.25">
      <c r="A452">
        <v>1371</v>
      </c>
      <c r="B452" t="s">
        <v>11</v>
      </c>
      <c r="C452" t="s">
        <v>603</v>
      </c>
      <c r="D452" t="s">
        <v>219</v>
      </c>
      <c r="E452">
        <v>1343</v>
      </c>
      <c r="F452" t="s">
        <v>1038</v>
      </c>
      <c r="G452">
        <v>26</v>
      </c>
      <c r="H452" t="s">
        <v>725</v>
      </c>
      <c r="I452" t="s">
        <v>1982</v>
      </c>
      <c r="J452" t="s">
        <v>1983</v>
      </c>
      <c r="K452" t="s">
        <v>1984</v>
      </c>
    </row>
    <row r="453" spans="1:17" x14ac:dyDescent="0.25">
      <c r="A453">
        <v>1371</v>
      </c>
      <c r="B453" t="s">
        <v>11</v>
      </c>
      <c r="C453" t="s">
        <v>603</v>
      </c>
      <c r="D453" t="s">
        <v>219</v>
      </c>
      <c r="E453">
        <v>1343</v>
      </c>
      <c r="F453" t="s">
        <v>1038</v>
      </c>
      <c r="G453">
        <v>26</v>
      </c>
      <c r="H453" t="s">
        <v>725</v>
      </c>
      <c r="I453" t="s">
        <v>1987</v>
      </c>
      <c r="K453" t="s">
        <v>1988</v>
      </c>
      <c r="L453" t="s">
        <v>2003</v>
      </c>
    </row>
    <row r="454" spans="1:17" x14ac:dyDescent="0.25">
      <c r="A454">
        <v>1371</v>
      </c>
      <c r="B454" t="s">
        <v>11</v>
      </c>
      <c r="C454" t="s">
        <v>603</v>
      </c>
      <c r="D454" t="s">
        <v>219</v>
      </c>
      <c r="E454">
        <v>1343</v>
      </c>
      <c r="F454" t="s">
        <v>1038</v>
      </c>
      <c r="G454">
        <v>26</v>
      </c>
      <c r="H454" t="s">
        <v>227</v>
      </c>
      <c r="I454" t="s">
        <v>1992</v>
      </c>
      <c r="K454" t="s">
        <v>1993</v>
      </c>
    </row>
    <row r="455" spans="1:17" x14ac:dyDescent="0.25">
      <c r="A455">
        <v>1371</v>
      </c>
      <c r="B455" t="s">
        <v>11</v>
      </c>
      <c r="C455" t="s">
        <v>603</v>
      </c>
      <c r="D455" t="s">
        <v>219</v>
      </c>
      <c r="E455">
        <v>1343</v>
      </c>
      <c r="F455" t="s">
        <v>1038</v>
      </c>
      <c r="G455">
        <v>26</v>
      </c>
      <c r="H455" t="s">
        <v>206</v>
      </c>
      <c r="I455" t="s">
        <v>1990</v>
      </c>
      <c r="K455" t="s">
        <v>2004</v>
      </c>
      <c r="L455" t="s">
        <v>2004</v>
      </c>
      <c r="M455" t="s">
        <v>1991</v>
      </c>
    </row>
    <row r="456" spans="1:17" x14ac:dyDescent="0.25">
      <c r="A456">
        <v>1371</v>
      </c>
      <c r="B456" t="s">
        <v>11</v>
      </c>
      <c r="C456" t="s">
        <v>603</v>
      </c>
      <c r="D456" t="s">
        <v>219</v>
      </c>
      <c r="E456">
        <v>1343</v>
      </c>
      <c r="F456" t="s">
        <v>1038</v>
      </c>
      <c r="G456">
        <v>26</v>
      </c>
      <c r="H456" t="s">
        <v>389</v>
      </c>
      <c r="J456" t="s">
        <v>1989</v>
      </c>
      <c r="K456" t="s">
        <v>1979</v>
      </c>
      <c r="Q456" t="s">
        <v>1978</v>
      </c>
    </row>
    <row r="457" spans="1:17" x14ac:dyDescent="0.25">
      <c r="A457">
        <v>1371</v>
      </c>
      <c r="B457" t="s">
        <v>11</v>
      </c>
      <c r="C457" t="s">
        <v>603</v>
      </c>
      <c r="D457" t="s">
        <v>219</v>
      </c>
      <c r="E457">
        <v>1343</v>
      </c>
      <c r="F457" t="s">
        <v>1038</v>
      </c>
      <c r="G457">
        <v>26</v>
      </c>
      <c r="H457" t="s">
        <v>645</v>
      </c>
      <c r="J457" t="s">
        <v>2010</v>
      </c>
      <c r="K457" t="s">
        <v>2011</v>
      </c>
      <c r="L457" t="s">
        <v>2012</v>
      </c>
    </row>
    <row r="458" spans="1:17" x14ac:dyDescent="0.25">
      <c r="A458">
        <v>1371</v>
      </c>
      <c r="B458" t="s">
        <v>11</v>
      </c>
      <c r="C458" t="s">
        <v>603</v>
      </c>
      <c r="D458" t="s">
        <v>219</v>
      </c>
      <c r="E458">
        <v>1343</v>
      </c>
      <c r="F458" t="s">
        <v>1038</v>
      </c>
      <c r="G458">
        <v>26</v>
      </c>
      <c r="H458" t="s">
        <v>645</v>
      </c>
      <c r="J458" t="s">
        <v>2010</v>
      </c>
      <c r="K458" t="s">
        <v>2013</v>
      </c>
    </row>
    <row r="459" spans="1:17" x14ac:dyDescent="0.25">
      <c r="A459">
        <v>1371</v>
      </c>
      <c r="B459" t="s">
        <v>11</v>
      </c>
      <c r="C459" t="s">
        <v>603</v>
      </c>
      <c r="D459" t="s">
        <v>219</v>
      </c>
      <c r="E459">
        <v>1343</v>
      </c>
      <c r="F459" t="s">
        <v>1038</v>
      </c>
      <c r="G459">
        <v>26</v>
      </c>
      <c r="H459" t="s">
        <v>725</v>
      </c>
      <c r="J459" t="s">
        <v>2007</v>
      </c>
      <c r="K459" t="s">
        <v>2008</v>
      </c>
      <c r="L459" t="s">
        <v>2009</v>
      </c>
    </row>
    <row r="460" spans="1:17" x14ac:dyDescent="0.25">
      <c r="A460">
        <v>1371</v>
      </c>
      <c r="B460" t="s">
        <v>11</v>
      </c>
      <c r="C460" t="s">
        <v>603</v>
      </c>
      <c r="D460" t="s">
        <v>219</v>
      </c>
      <c r="E460">
        <v>1343</v>
      </c>
      <c r="F460" t="s">
        <v>1038</v>
      </c>
      <c r="G460">
        <v>26</v>
      </c>
      <c r="H460" t="s">
        <v>540</v>
      </c>
      <c r="J460" t="s">
        <v>1975</v>
      </c>
      <c r="K460" t="s">
        <v>1976</v>
      </c>
      <c r="L460" t="s">
        <v>779</v>
      </c>
      <c r="Q460" t="s">
        <v>1977</v>
      </c>
    </row>
    <row r="461" spans="1:17" x14ac:dyDescent="0.25">
      <c r="A461">
        <v>1371</v>
      </c>
      <c r="B461" t="s">
        <v>11</v>
      </c>
      <c r="C461" t="s">
        <v>603</v>
      </c>
      <c r="D461" t="s">
        <v>219</v>
      </c>
      <c r="E461">
        <v>1343</v>
      </c>
      <c r="F461" t="s">
        <v>1038</v>
      </c>
      <c r="G461">
        <v>26</v>
      </c>
      <c r="H461" t="s">
        <v>488</v>
      </c>
      <c r="J461" t="s">
        <v>664</v>
      </c>
      <c r="K461" t="s">
        <v>1980</v>
      </c>
      <c r="L461" t="s">
        <v>1981</v>
      </c>
    </row>
    <row r="462" spans="1:17" x14ac:dyDescent="0.25">
      <c r="A462">
        <v>1381</v>
      </c>
      <c r="B462" t="s">
        <v>23</v>
      </c>
      <c r="C462" t="s">
        <v>2018</v>
      </c>
      <c r="D462" t="s">
        <v>219</v>
      </c>
      <c r="E462">
        <v>1343</v>
      </c>
      <c r="F462" t="s">
        <v>1038</v>
      </c>
      <c r="G462">
        <v>26</v>
      </c>
      <c r="H462" t="s">
        <v>645</v>
      </c>
      <c r="I462" t="s">
        <v>2027</v>
      </c>
    </row>
    <row r="463" spans="1:17" x14ac:dyDescent="0.25">
      <c r="A463">
        <v>1381</v>
      </c>
      <c r="B463" t="s">
        <v>23</v>
      </c>
      <c r="C463" t="s">
        <v>2018</v>
      </c>
      <c r="D463" t="s">
        <v>219</v>
      </c>
      <c r="E463">
        <v>1343</v>
      </c>
      <c r="F463" t="s">
        <v>1038</v>
      </c>
      <c r="G463">
        <v>26</v>
      </c>
      <c r="H463" s="8" t="s">
        <v>398</v>
      </c>
      <c r="I463" t="s">
        <v>2028</v>
      </c>
    </row>
    <row r="464" spans="1:17" x14ac:dyDescent="0.25">
      <c r="A464">
        <v>1381</v>
      </c>
      <c r="B464" t="s">
        <v>23</v>
      </c>
      <c r="C464" t="s">
        <v>2018</v>
      </c>
      <c r="D464" t="s">
        <v>219</v>
      </c>
      <c r="E464">
        <v>1343</v>
      </c>
      <c r="F464" t="s">
        <v>1038</v>
      </c>
      <c r="G464">
        <v>26</v>
      </c>
      <c r="H464" t="s">
        <v>645</v>
      </c>
      <c r="I464" t="s">
        <v>2024</v>
      </c>
    </row>
    <row r="465" spans="1:18" x14ac:dyDescent="0.25">
      <c r="A465">
        <v>1381</v>
      </c>
      <c r="B465" t="s">
        <v>23</v>
      </c>
      <c r="C465" t="s">
        <v>2018</v>
      </c>
      <c r="D465" t="s">
        <v>219</v>
      </c>
      <c r="E465">
        <v>1343</v>
      </c>
      <c r="F465" t="s">
        <v>1038</v>
      </c>
      <c r="G465">
        <v>26</v>
      </c>
      <c r="H465" s="8" t="s">
        <v>398</v>
      </c>
      <c r="I465" t="s">
        <v>1865</v>
      </c>
    </row>
    <row r="466" spans="1:18" x14ac:dyDescent="0.25">
      <c r="A466">
        <v>1381</v>
      </c>
      <c r="B466" t="s">
        <v>23</v>
      </c>
      <c r="C466" t="s">
        <v>2018</v>
      </c>
      <c r="D466" t="s">
        <v>219</v>
      </c>
      <c r="E466">
        <v>1343</v>
      </c>
      <c r="F466" t="s">
        <v>1038</v>
      </c>
      <c r="G466">
        <v>26</v>
      </c>
      <c r="H466" t="s">
        <v>645</v>
      </c>
      <c r="I466" t="s">
        <v>2023</v>
      </c>
    </row>
    <row r="467" spans="1:18" x14ac:dyDescent="0.25">
      <c r="A467">
        <v>1381</v>
      </c>
      <c r="B467" t="s">
        <v>23</v>
      </c>
      <c r="C467" t="s">
        <v>2018</v>
      </c>
      <c r="D467" t="s">
        <v>219</v>
      </c>
      <c r="E467">
        <v>1343</v>
      </c>
      <c r="F467" t="s">
        <v>1038</v>
      </c>
      <c r="G467">
        <v>26</v>
      </c>
      <c r="H467" t="s">
        <v>645</v>
      </c>
      <c r="I467" t="s">
        <v>2026</v>
      </c>
    </row>
    <row r="468" spans="1:18" x14ac:dyDescent="0.25">
      <c r="A468">
        <v>1381</v>
      </c>
      <c r="B468" t="s">
        <v>23</v>
      </c>
      <c r="C468" t="s">
        <v>2018</v>
      </c>
      <c r="D468" t="s">
        <v>219</v>
      </c>
      <c r="E468">
        <v>1343</v>
      </c>
      <c r="F468" t="s">
        <v>1038</v>
      </c>
      <c r="G468">
        <v>26</v>
      </c>
      <c r="H468" t="s">
        <v>645</v>
      </c>
      <c r="I468" t="s">
        <v>2022</v>
      </c>
    </row>
    <row r="469" spans="1:18" x14ac:dyDescent="0.25">
      <c r="A469">
        <v>1381</v>
      </c>
      <c r="B469" t="s">
        <v>23</v>
      </c>
      <c r="C469" t="s">
        <v>2018</v>
      </c>
      <c r="D469" t="s">
        <v>219</v>
      </c>
      <c r="E469">
        <v>1343</v>
      </c>
      <c r="F469" t="s">
        <v>1038</v>
      </c>
      <c r="G469">
        <v>26</v>
      </c>
      <c r="H469" t="s">
        <v>1816</v>
      </c>
      <c r="J469" t="s">
        <v>2019</v>
      </c>
      <c r="K469" t="s">
        <v>2021</v>
      </c>
    </row>
    <row r="470" spans="1:18" x14ac:dyDescent="0.25">
      <c r="A470">
        <v>1381</v>
      </c>
      <c r="B470" t="s">
        <v>23</v>
      </c>
      <c r="C470" t="s">
        <v>2018</v>
      </c>
      <c r="D470" t="s">
        <v>219</v>
      </c>
      <c r="E470">
        <v>1343</v>
      </c>
      <c r="F470" t="s">
        <v>1038</v>
      </c>
      <c r="G470">
        <v>26</v>
      </c>
      <c r="H470" t="s">
        <v>645</v>
      </c>
      <c r="J470" t="s">
        <v>2025</v>
      </c>
    </row>
    <row r="471" spans="1:18" x14ac:dyDescent="0.25">
      <c r="A471">
        <v>1381</v>
      </c>
      <c r="B471" t="s">
        <v>23</v>
      </c>
      <c r="C471" t="s">
        <v>2018</v>
      </c>
      <c r="D471" t="s">
        <v>219</v>
      </c>
      <c r="E471">
        <v>1343</v>
      </c>
      <c r="F471" t="s">
        <v>1038</v>
      </c>
      <c r="G471">
        <v>26</v>
      </c>
      <c r="H471" t="s">
        <v>833</v>
      </c>
      <c r="J471" t="s">
        <v>2032</v>
      </c>
      <c r="K471" t="s">
        <v>2033</v>
      </c>
      <c r="L471" t="s">
        <v>2034</v>
      </c>
    </row>
    <row r="472" spans="1:18" x14ac:dyDescent="0.25">
      <c r="A472">
        <v>1381</v>
      </c>
      <c r="B472" t="s">
        <v>23</v>
      </c>
      <c r="C472" t="s">
        <v>2018</v>
      </c>
      <c r="D472" t="s">
        <v>219</v>
      </c>
      <c r="E472">
        <v>1343</v>
      </c>
      <c r="F472" t="s">
        <v>1038</v>
      </c>
      <c r="G472">
        <v>26</v>
      </c>
      <c r="H472" t="s">
        <v>469</v>
      </c>
      <c r="J472" t="s">
        <v>2017</v>
      </c>
    </row>
    <row r="473" spans="1:18" x14ac:dyDescent="0.25">
      <c r="A473">
        <v>1381</v>
      </c>
      <c r="B473" t="s">
        <v>23</v>
      </c>
      <c r="C473" t="s">
        <v>2018</v>
      </c>
      <c r="D473" t="s">
        <v>219</v>
      </c>
      <c r="E473">
        <v>1343</v>
      </c>
      <c r="F473" t="s">
        <v>1038</v>
      </c>
      <c r="G473">
        <v>26</v>
      </c>
      <c r="H473" t="s">
        <v>764</v>
      </c>
      <c r="J473" t="s">
        <v>2020</v>
      </c>
    </row>
    <row r="474" spans="1:18" x14ac:dyDescent="0.25">
      <c r="A474">
        <v>1382</v>
      </c>
      <c r="B474" t="s">
        <v>2039</v>
      </c>
      <c r="C474" t="s">
        <v>2070</v>
      </c>
      <c r="D474" t="s">
        <v>219</v>
      </c>
      <c r="E474">
        <v>1342</v>
      </c>
      <c r="F474" t="s">
        <v>973</v>
      </c>
      <c r="G474">
        <v>15</v>
      </c>
      <c r="H474" t="s">
        <v>206</v>
      </c>
      <c r="I474" t="s">
        <v>2047</v>
      </c>
      <c r="K474" t="s">
        <v>2049</v>
      </c>
      <c r="L474" t="s">
        <v>2050</v>
      </c>
      <c r="M474" t="s">
        <v>2051</v>
      </c>
      <c r="N474" t="s">
        <v>2052</v>
      </c>
    </row>
    <row r="475" spans="1:18" x14ac:dyDescent="0.25">
      <c r="A475">
        <v>1382</v>
      </c>
      <c r="B475" t="s">
        <v>2039</v>
      </c>
      <c r="C475" t="s">
        <v>2070</v>
      </c>
      <c r="D475" t="s">
        <v>219</v>
      </c>
      <c r="E475">
        <v>1342</v>
      </c>
      <c r="F475" t="s">
        <v>973</v>
      </c>
      <c r="G475">
        <v>15</v>
      </c>
      <c r="H475" s="5" t="s">
        <v>725</v>
      </c>
      <c r="J475" t="s">
        <v>2044</v>
      </c>
      <c r="K475" t="s">
        <v>2048</v>
      </c>
      <c r="L475" t="s">
        <v>2045</v>
      </c>
      <c r="M475" t="s">
        <v>2046</v>
      </c>
      <c r="N475" t="s">
        <v>2065</v>
      </c>
    </row>
    <row r="476" spans="1:18" x14ac:dyDescent="0.25">
      <c r="A476">
        <v>1382</v>
      </c>
      <c r="B476" t="s">
        <v>2039</v>
      </c>
      <c r="C476" t="s">
        <v>2070</v>
      </c>
      <c r="D476" t="s">
        <v>219</v>
      </c>
      <c r="E476">
        <v>1342</v>
      </c>
      <c r="F476" t="s">
        <v>973</v>
      </c>
      <c r="G476">
        <v>15</v>
      </c>
      <c r="H476" s="8" t="s">
        <v>417</v>
      </c>
      <c r="J476" t="s">
        <v>2053</v>
      </c>
      <c r="K476" t="s">
        <v>2054</v>
      </c>
      <c r="L476" t="s">
        <v>2055</v>
      </c>
      <c r="M476" t="s">
        <v>2056</v>
      </c>
    </row>
    <row r="477" spans="1:18" x14ac:dyDescent="0.25">
      <c r="A477">
        <v>1383</v>
      </c>
      <c r="B477" t="s">
        <v>2060</v>
      </c>
      <c r="C477" t="s">
        <v>2070</v>
      </c>
      <c r="D477" t="s">
        <v>219</v>
      </c>
      <c r="E477">
        <v>1342</v>
      </c>
      <c r="F477" t="s">
        <v>973</v>
      </c>
      <c r="G477">
        <v>15</v>
      </c>
      <c r="H477" t="s">
        <v>398</v>
      </c>
      <c r="I477" t="s">
        <v>2067</v>
      </c>
      <c r="K477" t="s">
        <v>2068</v>
      </c>
      <c r="L477" t="s">
        <v>2069</v>
      </c>
    </row>
    <row r="478" spans="1:18" x14ac:dyDescent="0.25">
      <c r="A478">
        <v>1383</v>
      </c>
      <c r="B478" t="s">
        <v>2060</v>
      </c>
      <c r="C478" t="s">
        <v>2070</v>
      </c>
      <c r="D478" t="s">
        <v>219</v>
      </c>
      <c r="E478">
        <v>1342</v>
      </c>
      <c r="F478" t="s">
        <v>973</v>
      </c>
      <c r="G478">
        <v>15</v>
      </c>
      <c r="H478" t="s">
        <v>721</v>
      </c>
      <c r="J478" t="s">
        <v>2074</v>
      </c>
      <c r="R478" t="s">
        <v>2075</v>
      </c>
    </row>
    <row r="479" spans="1:18" x14ac:dyDescent="0.25">
      <c r="A479">
        <v>1383</v>
      </c>
      <c r="B479" t="s">
        <v>2060</v>
      </c>
      <c r="C479" t="s">
        <v>2070</v>
      </c>
      <c r="D479" t="s">
        <v>219</v>
      </c>
      <c r="E479">
        <v>1342</v>
      </c>
      <c r="F479" t="s">
        <v>973</v>
      </c>
      <c r="G479">
        <v>15</v>
      </c>
      <c r="H479" t="s">
        <v>1153</v>
      </c>
      <c r="J479" t="s">
        <v>2062</v>
      </c>
      <c r="K479" t="s">
        <v>2048</v>
      </c>
      <c r="L479" t="s">
        <v>2064</v>
      </c>
      <c r="M479" t="s">
        <v>2063</v>
      </c>
      <c r="N479" t="s">
        <v>2066</v>
      </c>
    </row>
    <row r="480" spans="1:18" x14ac:dyDescent="0.25">
      <c r="A480">
        <v>1383</v>
      </c>
      <c r="B480" t="s">
        <v>2060</v>
      </c>
      <c r="C480" t="s">
        <v>2070</v>
      </c>
      <c r="D480" t="s">
        <v>219</v>
      </c>
      <c r="E480">
        <v>1342</v>
      </c>
      <c r="F480" t="s">
        <v>973</v>
      </c>
      <c r="G480">
        <v>15</v>
      </c>
      <c r="H480" s="8" t="s">
        <v>417</v>
      </c>
      <c r="J480" t="s">
        <v>2053</v>
      </c>
      <c r="K480" t="s">
        <v>2071</v>
      </c>
      <c r="L480" t="s">
        <v>2072</v>
      </c>
      <c r="M480" t="s">
        <v>2073</v>
      </c>
    </row>
    <row r="481" spans="1:17" x14ac:dyDescent="0.25">
      <c r="A481">
        <v>1391</v>
      </c>
      <c r="B481" t="s">
        <v>2082</v>
      </c>
      <c r="C481" t="s">
        <v>2081</v>
      </c>
      <c r="D481" t="s">
        <v>219</v>
      </c>
      <c r="E481">
        <v>1342</v>
      </c>
      <c r="F481" t="s">
        <v>973</v>
      </c>
      <c r="G481">
        <v>15</v>
      </c>
      <c r="H481" t="s">
        <v>1683</v>
      </c>
      <c r="I481" t="s">
        <v>2095</v>
      </c>
      <c r="K481" t="s">
        <v>2096</v>
      </c>
      <c r="L481" t="s">
        <v>2097</v>
      </c>
      <c r="M481" t="s">
        <v>2098</v>
      </c>
      <c r="N481" t="s">
        <v>2099</v>
      </c>
    </row>
    <row r="482" spans="1:17" x14ac:dyDescent="0.25">
      <c r="A482">
        <v>1391</v>
      </c>
      <c r="B482" t="s">
        <v>2082</v>
      </c>
      <c r="C482" t="s">
        <v>2081</v>
      </c>
      <c r="D482" t="s">
        <v>219</v>
      </c>
      <c r="E482">
        <v>1342</v>
      </c>
      <c r="F482" t="s">
        <v>973</v>
      </c>
      <c r="G482">
        <v>15</v>
      </c>
      <c r="H482" t="s">
        <v>2091</v>
      </c>
      <c r="I482" t="s">
        <v>2088</v>
      </c>
      <c r="J482" t="s">
        <v>2089</v>
      </c>
      <c r="K482" t="s">
        <v>2090</v>
      </c>
    </row>
    <row r="483" spans="1:17" x14ac:dyDescent="0.25">
      <c r="A483">
        <v>1391</v>
      </c>
      <c r="B483" t="s">
        <v>2082</v>
      </c>
      <c r="C483" t="s">
        <v>2081</v>
      </c>
      <c r="D483" t="s">
        <v>219</v>
      </c>
      <c r="E483">
        <v>1342</v>
      </c>
      <c r="F483" t="s">
        <v>973</v>
      </c>
      <c r="G483">
        <v>15</v>
      </c>
      <c r="H483" s="8" t="s">
        <v>398</v>
      </c>
      <c r="I483" t="s">
        <v>2130</v>
      </c>
      <c r="K483" t="s">
        <v>2132</v>
      </c>
      <c r="L483" t="s">
        <v>2128</v>
      </c>
      <c r="Q483" t="s">
        <v>2131</v>
      </c>
    </row>
    <row r="484" spans="1:17" x14ac:dyDescent="0.25">
      <c r="A484">
        <v>1391</v>
      </c>
      <c r="B484" t="s">
        <v>2082</v>
      </c>
      <c r="C484" t="s">
        <v>2081</v>
      </c>
      <c r="D484" t="s">
        <v>219</v>
      </c>
      <c r="E484">
        <v>1342</v>
      </c>
      <c r="F484" t="s">
        <v>973</v>
      </c>
      <c r="G484">
        <v>15</v>
      </c>
      <c r="H484" t="s">
        <v>1683</v>
      </c>
      <c r="I484" t="s">
        <v>2117</v>
      </c>
      <c r="K484" t="s">
        <v>2118</v>
      </c>
      <c r="L484" t="s">
        <v>2119</v>
      </c>
      <c r="M484" t="s">
        <v>2120</v>
      </c>
    </row>
    <row r="485" spans="1:17" x14ac:dyDescent="0.25">
      <c r="A485">
        <v>1391</v>
      </c>
      <c r="B485" t="s">
        <v>2082</v>
      </c>
      <c r="C485" t="s">
        <v>2081</v>
      </c>
      <c r="D485" t="s">
        <v>219</v>
      </c>
      <c r="E485">
        <v>1342</v>
      </c>
      <c r="F485" t="s">
        <v>973</v>
      </c>
      <c r="G485">
        <v>15</v>
      </c>
      <c r="H485" t="s">
        <v>1683</v>
      </c>
      <c r="J485" t="s">
        <v>2092</v>
      </c>
      <c r="K485" t="s">
        <v>2093</v>
      </c>
      <c r="L485" t="s">
        <v>2093</v>
      </c>
      <c r="M485" t="s">
        <v>2093</v>
      </c>
      <c r="N485" t="s">
        <v>2094</v>
      </c>
    </row>
    <row r="486" spans="1:17" x14ac:dyDescent="0.25">
      <c r="A486">
        <v>1391</v>
      </c>
      <c r="B486" t="s">
        <v>2082</v>
      </c>
      <c r="C486" t="s">
        <v>2081</v>
      </c>
      <c r="D486" t="s">
        <v>219</v>
      </c>
      <c r="E486">
        <v>1342</v>
      </c>
      <c r="F486" t="s">
        <v>973</v>
      </c>
      <c r="G486">
        <v>15</v>
      </c>
      <c r="H486" t="s">
        <v>1683</v>
      </c>
      <c r="J486" t="s">
        <v>2113</v>
      </c>
      <c r="K486" t="s">
        <v>2114</v>
      </c>
      <c r="L486" t="s">
        <v>2114</v>
      </c>
      <c r="M486" t="s">
        <v>2115</v>
      </c>
      <c r="N486" t="s">
        <v>2116</v>
      </c>
    </row>
    <row r="487" spans="1:17" x14ac:dyDescent="0.25">
      <c r="A487">
        <v>1391</v>
      </c>
      <c r="B487" t="s">
        <v>2082</v>
      </c>
      <c r="C487" t="s">
        <v>2081</v>
      </c>
      <c r="D487" t="s">
        <v>219</v>
      </c>
      <c r="E487">
        <v>1342</v>
      </c>
      <c r="F487" t="s">
        <v>973</v>
      </c>
      <c r="G487">
        <v>15</v>
      </c>
      <c r="H487" t="s">
        <v>1683</v>
      </c>
      <c r="J487" t="s">
        <v>2100</v>
      </c>
      <c r="K487" t="s">
        <v>2101</v>
      </c>
      <c r="L487" t="s">
        <v>2102</v>
      </c>
      <c r="M487" t="s">
        <v>2103</v>
      </c>
      <c r="N487" t="s">
        <v>2104</v>
      </c>
      <c r="O487" t="s">
        <v>2105</v>
      </c>
      <c r="P487" t="s">
        <v>2107</v>
      </c>
    </row>
    <row r="488" spans="1:17" x14ac:dyDescent="0.25">
      <c r="A488">
        <v>1391</v>
      </c>
      <c r="B488" t="s">
        <v>2082</v>
      </c>
      <c r="C488" t="s">
        <v>2081</v>
      </c>
      <c r="D488" t="s">
        <v>219</v>
      </c>
      <c r="E488">
        <v>1342</v>
      </c>
      <c r="F488" t="s">
        <v>973</v>
      </c>
      <c r="G488">
        <v>15</v>
      </c>
      <c r="H488" t="s">
        <v>1683</v>
      </c>
      <c r="J488" t="s">
        <v>2108</v>
      </c>
      <c r="K488" t="s">
        <v>2109</v>
      </c>
      <c r="L488" t="s">
        <v>2110</v>
      </c>
      <c r="M488" t="s">
        <v>2111</v>
      </c>
      <c r="N488" t="s">
        <v>2112</v>
      </c>
    </row>
    <row r="489" spans="1:17" x14ac:dyDescent="0.25">
      <c r="A489">
        <v>1391</v>
      </c>
      <c r="B489" t="s">
        <v>2082</v>
      </c>
      <c r="C489" t="s">
        <v>2081</v>
      </c>
      <c r="D489" t="s">
        <v>219</v>
      </c>
      <c r="E489">
        <v>1342</v>
      </c>
      <c r="F489" t="s">
        <v>973</v>
      </c>
      <c r="G489">
        <v>15</v>
      </c>
      <c r="H489" t="s">
        <v>1683</v>
      </c>
      <c r="J489" t="s">
        <v>2121</v>
      </c>
      <c r="K489" t="s">
        <v>2122</v>
      </c>
      <c r="M489" t="s">
        <v>2123</v>
      </c>
    </row>
    <row r="490" spans="1:17" x14ac:dyDescent="0.25">
      <c r="A490">
        <v>1391</v>
      </c>
      <c r="B490" t="s">
        <v>2082</v>
      </c>
      <c r="C490" t="s">
        <v>2081</v>
      </c>
      <c r="D490" t="s">
        <v>219</v>
      </c>
      <c r="E490">
        <v>1342</v>
      </c>
      <c r="F490" t="s">
        <v>973</v>
      </c>
      <c r="G490">
        <v>15</v>
      </c>
      <c r="H490" t="s">
        <v>833</v>
      </c>
      <c r="J490" t="s">
        <v>2133</v>
      </c>
      <c r="K490" t="s">
        <v>2135</v>
      </c>
      <c r="L490" t="s">
        <v>2136</v>
      </c>
      <c r="M490" t="s">
        <v>2137</v>
      </c>
      <c r="N490" t="s">
        <v>2138</v>
      </c>
      <c r="O490" t="s">
        <v>2139</v>
      </c>
    </row>
    <row r="491" spans="1:17" x14ac:dyDescent="0.25">
      <c r="A491">
        <v>1391</v>
      </c>
      <c r="B491" t="s">
        <v>2082</v>
      </c>
      <c r="C491" t="s">
        <v>2081</v>
      </c>
      <c r="D491" t="s">
        <v>219</v>
      </c>
      <c r="E491">
        <v>1342</v>
      </c>
      <c r="F491" t="s">
        <v>973</v>
      </c>
      <c r="G491">
        <v>15</v>
      </c>
      <c r="H491" t="s">
        <v>833</v>
      </c>
      <c r="J491" t="s">
        <v>2134</v>
      </c>
      <c r="K491" t="s">
        <v>2135</v>
      </c>
      <c r="L491" t="s">
        <v>2136</v>
      </c>
      <c r="M491" t="s">
        <v>2137</v>
      </c>
      <c r="N491" t="s">
        <v>2138</v>
      </c>
      <c r="O491" t="s">
        <v>2139</v>
      </c>
    </row>
    <row r="492" spans="1:17" x14ac:dyDescent="0.25">
      <c r="A492">
        <v>1391</v>
      </c>
      <c r="B492" t="s">
        <v>2082</v>
      </c>
      <c r="C492" t="s">
        <v>2081</v>
      </c>
      <c r="D492" t="s">
        <v>219</v>
      </c>
      <c r="E492">
        <v>1342</v>
      </c>
      <c r="F492" t="s">
        <v>973</v>
      </c>
      <c r="G492">
        <v>15</v>
      </c>
      <c r="H492" t="s">
        <v>1683</v>
      </c>
      <c r="J492" t="s">
        <v>2142</v>
      </c>
      <c r="Q492" t="s">
        <v>2143</v>
      </c>
    </row>
    <row r="493" spans="1:17" x14ac:dyDescent="0.25">
      <c r="A493">
        <v>1391</v>
      </c>
      <c r="B493" t="s">
        <v>2082</v>
      </c>
      <c r="C493" t="s">
        <v>2081</v>
      </c>
      <c r="D493" t="s">
        <v>219</v>
      </c>
      <c r="E493">
        <v>1342</v>
      </c>
      <c r="F493" t="s">
        <v>973</v>
      </c>
      <c r="G493">
        <v>15</v>
      </c>
      <c r="H493" t="s">
        <v>1683</v>
      </c>
      <c r="J493" t="s">
        <v>2126</v>
      </c>
      <c r="K493" t="s">
        <v>2128</v>
      </c>
      <c r="L493" t="s">
        <v>2112</v>
      </c>
      <c r="N493" t="s">
        <v>2129</v>
      </c>
      <c r="Q493" t="s">
        <v>2127</v>
      </c>
    </row>
    <row r="494" spans="1:17" x14ac:dyDescent="0.25">
      <c r="A494">
        <v>1391</v>
      </c>
      <c r="B494" t="s">
        <v>2082</v>
      </c>
      <c r="C494" t="s">
        <v>2081</v>
      </c>
      <c r="D494" t="s">
        <v>219</v>
      </c>
      <c r="E494">
        <v>1342</v>
      </c>
      <c r="F494" t="s">
        <v>973</v>
      </c>
      <c r="G494">
        <v>15</v>
      </c>
      <c r="H494" t="s">
        <v>2124</v>
      </c>
      <c r="Q494" t="s">
        <v>2125</v>
      </c>
    </row>
    <row r="495" spans="1:17" x14ac:dyDescent="0.25">
      <c r="A495">
        <v>1391</v>
      </c>
      <c r="B495" t="s">
        <v>2082</v>
      </c>
      <c r="C495" t="s">
        <v>2081</v>
      </c>
      <c r="D495" t="s">
        <v>219</v>
      </c>
      <c r="E495">
        <v>1342</v>
      </c>
      <c r="F495" t="s">
        <v>973</v>
      </c>
      <c r="G495">
        <v>15</v>
      </c>
      <c r="H495" t="s">
        <v>2140</v>
      </c>
      <c r="Q495" t="s">
        <v>2141</v>
      </c>
    </row>
    <row r="496" spans="1:17" x14ac:dyDescent="0.25">
      <c r="A496">
        <v>1392</v>
      </c>
      <c r="B496" t="s">
        <v>23</v>
      </c>
      <c r="C496" t="s">
        <v>2018</v>
      </c>
      <c r="D496" t="s">
        <v>219</v>
      </c>
      <c r="E496">
        <v>1343</v>
      </c>
      <c r="F496" t="s">
        <v>973</v>
      </c>
      <c r="G496">
        <v>22</v>
      </c>
      <c r="H496" t="s">
        <v>645</v>
      </c>
      <c r="I496" t="s">
        <v>2159</v>
      </c>
    </row>
    <row r="497" spans="1:17" x14ac:dyDescent="0.25">
      <c r="A497">
        <v>1392</v>
      </c>
      <c r="B497" t="s">
        <v>23</v>
      </c>
      <c r="C497" t="s">
        <v>2018</v>
      </c>
      <c r="D497" t="s">
        <v>219</v>
      </c>
      <c r="E497">
        <v>1343</v>
      </c>
      <c r="F497" t="s">
        <v>973</v>
      </c>
      <c r="G497">
        <v>22</v>
      </c>
      <c r="H497" t="s">
        <v>645</v>
      </c>
      <c r="I497" t="s">
        <v>2152</v>
      </c>
    </row>
    <row r="498" spans="1:17" x14ac:dyDescent="0.25">
      <c r="A498">
        <v>1392</v>
      </c>
      <c r="B498" t="s">
        <v>23</v>
      </c>
      <c r="C498" t="s">
        <v>2018</v>
      </c>
      <c r="D498" t="s">
        <v>219</v>
      </c>
      <c r="E498">
        <v>1343</v>
      </c>
      <c r="F498" t="s">
        <v>973</v>
      </c>
      <c r="G498">
        <v>22</v>
      </c>
      <c r="H498" t="s">
        <v>645</v>
      </c>
      <c r="I498" t="s">
        <v>2158</v>
      </c>
    </row>
    <row r="499" spans="1:17" x14ac:dyDescent="0.25">
      <c r="A499">
        <v>1392</v>
      </c>
      <c r="B499" t="s">
        <v>23</v>
      </c>
      <c r="C499" t="s">
        <v>2018</v>
      </c>
      <c r="D499" t="s">
        <v>219</v>
      </c>
      <c r="E499">
        <v>1343</v>
      </c>
      <c r="F499" t="s">
        <v>973</v>
      </c>
      <c r="G499">
        <v>22</v>
      </c>
      <c r="H499" s="8" t="s">
        <v>398</v>
      </c>
      <c r="I499" t="s">
        <v>2162</v>
      </c>
    </row>
    <row r="500" spans="1:17" x14ac:dyDescent="0.25">
      <c r="A500">
        <v>1392</v>
      </c>
      <c r="B500" t="s">
        <v>23</v>
      </c>
      <c r="C500" t="s">
        <v>2018</v>
      </c>
      <c r="D500" t="s">
        <v>219</v>
      </c>
      <c r="E500">
        <v>1343</v>
      </c>
      <c r="F500" t="s">
        <v>973</v>
      </c>
      <c r="G500">
        <v>22</v>
      </c>
      <c r="H500" s="8" t="s">
        <v>398</v>
      </c>
      <c r="I500" t="s">
        <v>2163</v>
      </c>
    </row>
    <row r="501" spans="1:17" x14ac:dyDescent="0.25">
      <c r="A501">
        <v>1392</v>
      </c>
      <c r="B501" t="s">
        <v>23</v>
      </c>
      <c r="C501" t="s">
        <v>2018</v>
      </c>
      <c r="D501" t="s">
        <v>219</v>
      </c>
      <c r="E501">
        <v>1343</v>
      </c>
      <c r="F501" t="s">
        <v>973</v>
      </c>
      <c r="G501">
        <v>22</v>
      </c>
      <c r="H501" t="s">
        <v>645</v>
      </c>
      <c r="I501" t="s">
        <v>2160</v>
      </c>
      <c r="K501" t="s">
        <v>2161</v>
      </c>
    </row>
    <row r="502" spans="1:17" x14ac:dyDescent="0.25">
      <c r="A502">
        <v>1392</v>
      </c>
      <c r="B502" t="s">
        <v>23</v>
      </c>
      <c r="C502" t="s">
        <v>2018</v>
      </c>
      <c r="D502" t="s">
        <v>219</v>
      </c>
      <c r="E502">
        <v>1343</v>
      </c>
      <c r="F502" t="s">
        <v>973</v>
      </c>
      <c r="G502">
        <v>22</v>
      </c>
      <c r="H502" t="s">
        <v>645</v>
      </c>
      <c r="I502" t="s">
        <v>2153</v>
      </c>
    </row>
    <row r="503" spans="1:17" x14ac:dyDescent="0.25">
      <c r="A503">
        <v>1392</v>
      </c>
      <c r="B503" t="s">
        <v>23</v>
      </c>
      <c r="C503" t="s">
        <v>2018</v>
      </c>
      <c r="D503" t="s">
        <v>219</v>
      </c>
      <c r="E503">
        <v>1343</v>
      </c>
      <c r="F503" t="s">
        <v>973</v>
      </c>
      <c r="G503">
        <v>22</v>
      </c>
      <c r="H503" t="s">
        <v>645</v>
      </c>
      <c r="I503" t="s">
        <v>2156</v>
      </c>
    </row>
    <row r="504" spans="1:17" x14ac:dyDescent="0.25">
      <c r="A504">
        <v>1392</v>
      </c>
      <c r="B504" t="s">
        <v>23</v>
      </c>
      <c r="C504" t="s">
        <v>2018</v>
      </c>
      <c r="D504" t="s">
        <v>219</v>
      </c>
      <c r="E504">
        <v>1343</v>
      </c>
      <c r="F504" t="s">
        <v>973</v>
      </c>
      <c r="G504">
        <v>22</v>
      </c>
      <c r="H504" t="s">
        <v>645</v>
      </c>
      <c r="I504" t="s">
        <v>2157</v>
      </c>
    </row>
    <row r="505" spans="1:17" x14ac:dyDescent="0.25">
      <c r="A505">
        <v>1392</v>
      </c>
      <c r="B505" t="s">
        <v>23</v>
      </c>
      <c r="C505" t="s">
        <v>2018</v>
      </c>
      <c r="D505" t="s">
        <v>219</v>
      </c>
      <c r="E505">
        <v>1343</v>
      </c>
      <c r="F505" t="s">
        <v>973</v>
      </c>
      <c r="G505">
        <v>22</v>
      </c>
      <c r="H505" t="s">
        <v>645</v>
      </c>
      <c r="J505" t="s">
        <v>2154</v>
      </c>
    </row>
    <row r="506" spans="1:17" x14ac:dyDescent="0.25">
      <c r="A506">
        <v>1392</v>
      </c>
      <c r="B506" t="s">
        <v>23</v>
      </c>
      <c r="C506" t="s">
        <v>2018</v>
      </c>
      <c r="D506" t="s">
        <v>219</v>
      </c>
      <c r="E506">
        <v>1343</v>
      </c>
      <c r="F506" t="s">
        <v>973</v>
      </c>
      <c r="G506">
        <v>22</v>
      </c>
      <c r="H506" t="s">
        <v>1816</v>
      </c>
      <c r="J506" t="s">
        <v>2151</v>
      </c>
    </row>
    <row r="507" spans="1:17" x14ac:dyDescent="0.25">
      <c r="A507">
        <v>1392</v>
      </c>
      <c r="B507" t="s">
        <v>23</v>
      </c>
      <c r="C507" t="s">
        <v>2018</v>
      </c>
      <c r="D507" t="s">
        <v>219</v>
      </c>
      <c r="E507">
        <v>1343</v>
      </c>
      <c r="F507" t="s">
        <v>973</v>
      </c>
      <c r="G507">
        <v>22</v>
      </c>
      <c r="H507" t="s">
        <v>540</v>
      </c>
      <c r="J507" t="s">
        <v>2150</v>
      </c>
    </row>
    <row r="508" spans="1:17" x14ac:dyDescent="0.25">
      <c r="A508">
        <v>1392</v>
      </c>
      <c r="B508" t="s">
        <v>23</v>
      </c>
      <c r="C508" t="s">
        <v>2018</v>
      </c>
      <c r="D508" t="s">
        <v>219</v>
      </c>
      <c r="E508">
        <v>1343</v>
      </c>
      <c r="F508" t="s">
        <v>973</v>
      </c>
      <c r="G508">
        <v>22</v>
      </c>
      <c r="H508" s="8" t="s">
        <v>417</v>
      </c>
      <c r="K508" t="s">
        <v>2155</v>
      </c>
    </row>
    <row r="509" spans="1:17" x14ac:dyDescent="0.25">
      <c r="A509">
        <v>1401</v>
      </c>
      <c r="B509" t="s">
        <v>2177</v>
      </c>
      <c r="C509" t="s">
        <v>2070</v>
      </c>
      <c r="D509" t="s">
        <v>219</v>
      </c>
      <c r="E509">
        <v>1342</v>
      </c>
      <c r="F509" t="s">
        <v>15</v>
      </c>
      <c r="G509" t="s">
        <v>15</v>
      </c>
      <c r="H509" s="8" t="s">
        <v>417</v>
      </c>
      <c r="I509" t="s">
        <v>2166</v>
      </c>
    </row>
    <row r="510" spans="1:17" x14ac:dyDescent="0.25">
      <c r="A510">
        <v>1401</v>
      </c>
      <c r="B510" t="s">
        <v>2177</v>
      </c>
      <c r="C510" t="s">
        <v>2070</v>
      </c>
      <c r="D510" t="s">
        <v>219</v>
      </c>
      <c r="E510">
        <v>1342</v>
      </c>
      <c r="F510" t="s">
        <v>15</v>
      </c>
      <c r="G510" t="s">
        <v>15</v>
      </c>
      <c r="H510" t="s">
        <v>2168</v>
      </c>
      <c r="I510" t="s">
        <v>2169</v>
      </c>
      <c r="Q510" t="s">
        <v>2170</v>
      </c>
    </row>
    <row r="511" spans="1:17" x14ac:dyDescent="0.25">
      <c r="A511">
        <v>1401</v>
      </c>
      <c r="B511" t="s">
        <v>2177</v>
      </c>
      <c r="C511" t="s">
        <v>2070</v>
      </c>
      <c r="D511" t="s">
        <v>219</v>
      </c>
      <c r="E511">
        <v>1342</v>
      </c>
      <c r="F511" t="s">
        <v>15</v>
      </c>
      <c r="G511" t="s">
        <v>15</v>
      </c>
      <c r="H511" s="8" t="s">
        <v>417</v>
      </c>
      <c r="I511" t="s">
        <v>2167</v>
      </c>
    </row>
    <row r="512" spans="1:17" x14ac:dyDescent="0.25">
      <c r="A512">
        <v>1401</v>
      </c>
      <c r="B512" t="s">
        <v>2177</v>
      </c>
      <c r="C512" t="s">
        <v>2070</v>
      </c>
      <c r="D512" t="s">
        <v>219</v>
      </c>
      <c r="E512">
        <v>1342</v>
      </c>
      <c r="F512" t="s">
        <v>15</v>
      </c>
      <c r="G512" t="s">
        <v>15</v>
      </c>
      <c r="H512" t="s">
        <v>2331</v>
      </c>
      <c r="I512" t="s">
        <v>2171</v>
      </c>
      <c r="J512" t="s">
        <v>2172</v>
      </c>
    </row>
    <row r="513" spans="1:17" x14ac:dyDescent="0.25">
      <c r="A513">
        <v>1402</v>
      </c>
      <c r="B513" t="s">
        <v>3756</v>
      </c>
      <c r="C513" t="s">
        <v>2183</v>
      </c>
      <c r="D513" t="s">
        <v>219</v>
      </c>
      <c r="E513">
        <v>1342</v>
      </c>
      <c r="F513" t="s">
        <v>383</v>
      </c>
      <c r="G513">
        <v>23</v>
      </c>
      <c r="H513" s="8" t="s">
        <v>398</v>
      </c>
      <c r="I513" t="s">
        <v>2189</v>
      </c>
      <c r="K513" t="s">
        <v>2190</v>
      </c>
      <c r="L513" t="s">
        <v>2191</v>
      </c>
      <c r="M513" t="s">
        <v>2192</v>
      </c>
    </row>
    <row r="514" spans="1:17" x14ac:dyDescent="0.25">
      <c r="A514">
        <v>1402</v>
      </c>
      <c r="B514" t="s">
        <v>3756</v>
      </c>
      <c r="C514" t="s">
        <v>2183</v>
      </c>
      <c r="D514" t="s">
        <v>219</v>
      </c>
      <c r="E514">
        <v>1342</v>
      </c>
      <c r="F514" t="s">
        <v>383</v>
      </c>
      <c r="G514">
        <v>23</v>
      </c>
      <c r="H514" t="s">
        <v>679</v>
      </c>
      <c r="I514" t="s">
        <v>2189</v>
      </c>
      <c r="K514" t="s">
        <v>2190</v>
      </c>
      <c r="L514" t="s">
        <v>2191</v>
      </c>
      <c r="M514" t="s">
        <v>2192</v>
      </c>
    </row>
    <row r="515" spans="1:17" x14ac:dyDescent="0.25">
      <c r="A515">
        <v>1402</v>
      </c>
      <c r="B515" t="s">
        <v>3756</v>
      </c>
      <c r="C515" t="s">
        <v>2183</v>
      </c>
      <c r="D515" t="s">
        <v>219</v>
      </c>
      <c r="E515">
        <v>1342</v>
      </c>
      <c r="F515" t="s">
        <v>383</v>
      </c>
      <c r="G515">
        <v>23</v>
      </c>
      <c r="H515" s="8" t="s">
        <v>398</v>
      </c>
      <c r="K515" t="s">
        <v>2186</v>
      </c>
      <c r="L515" t="s">
        <v>2187</v>
      </c>
      <c r="M515" t="s">
        <v>2188</v>
      </c>
    </row>
    <row r="516" spans="1:17" x14ac:dyDescent="0.25">
      <c r="A516">
        <v>1402</v>
      </c>
      <c r="B516" t="s">
        <v>3756</v>
      </c>
      <c r="C516" t="s">
        <v>2183</v>
      </c>
      <c r="D516" t="s">
        <v>219</v>
      </c>
      <c r="E516">
        <v>1342</v>
      </c>
      <c r="F516" t="s">
        <v>383</v>
      </c>
      <c r="G516">
        <v>23</v>
      </c>
      <c r="H516" t="s">
        <v>721</v>
      </c>
      <c r="K516" t="s">
        <v>2186</v>
      </c>
      <c r="L516" t="s">
        <v>2187</v>
      </c>
      <c r="M516" t="s">
        <v>2188</v>
      </c>
    </row>
    <row r="517" spans="1:17" x14ac:dyDescent="0.25">
      <c r="A517">
        <v>1411</v>
      </c>
      <c r="B517" t="s">
        <v>19</v>
      </c>
      <c r="C517" t="s">
        <v>2203</v>
      </c>
      <c r="D517" t="s">
        <v>219</v>
      </c>
      <c r="E517">
        <v>1342</v>
      </c>
      <c r="F517" t="s">
        <v>817</v>
      </c>
      <c r="G517">
        <v>12</v>
      </c>
      <c r="H517" t="s">
        <v>1153</v>
      </c>
      <c r="I517" t="s">
        <v>2202</v>
      </c>
      <c r="K517" t="s">
        <v>2205</v>
      </c>
      <c r="L517" t="s">
        <v>2206</v>
      </c>
      <c r="M517" t="s">
        <v>2207</v>
      </c>
      <c r="N517" t="s">
        <v>2208</v>
      </c>
      <c r="O517" t="s">
        <v>2211</v>
      </c>
    </row>
    <row r="518" spans="1:17" x14ac:dyDescent="0.25">
      <c r="A518">
        <v>1411</v>
      </c>
      <c r="B518" t="s">
        <v>19</v>
      </c>
      <c r="C518" t="s">
        <v>2203</v>
      </c>
      <c r="D518" t="s">
        <v>219</v>
      </c>
      <c r="E518">
        <v>1342</v>
      </c>
      <c r="F518" t="s">
        <v>817</v>
      </c>
      <c r="G518">
        <v>12</v>
      </c>
      <c r="H518" s="8" t="s">
        <v>398</v>
      </c>
      <c r="I518" t="s">
        <v>2217</v>
      </c>
    </row>
    <row r="519" spans="1:17" x14ac:dyDescent="0.25">
      <c r="A519">
        <v>1411</v>
      </c>
      <c r="B519" t="s">
        <v>19</v>
      </c>
      <c r="C519" t="s">
        <v>2203</v>
      </c>
      <c r="D519" t="s">
        <v>219</v>
      </c>
      <c r="E519">
        <v>1342</v>
      </c>
      <c r="F519" t="s">
        <v>817</v>
      </c>
      <c r="G519">
        <v>12</v>
      </c>
      <c r="H519" s="8" t="s">
        <v>398</v>
      </c>
      <c r="I519" t="s">
        <v>2214</v>
      </c>
      <c r="K519" t="s">
        <v>2216</v>
      </c>
      <c r="L519" t="s">
        <v>608</v>
      </c>
      <c r="Q519" t="s">
        <v>2215</v>
      </c>
    </row>
    <row r="520" spans="1:17" x14ac:dyDescent="0.25">
      <c r="A520">
        <v>1411</v>
      </c>
      <c r="B520" t="s">
        <v>19</v>
      </c>
      <c r="C520" t="s">
        <v>2203</v>
      </c>
      <c r="D520" t="s">
        <v>219</v>
      </c>
      <c r="E520">
        <v>1342</v>
      </c>
      <c r="F520" t="s">
        <v>817</v>
      </c>
      <c r="G520">
        <v>12</v>
      </c>
      <c r="H520" t="s">
        <v>206</v>
      </c>
      <c r="J520" t="s">
        <v>2212</v>
      </c>
      <c r="Q520" t="s">
        <v>2213</v>
      </c>
    </row>
    <row r="521" spans="1:17" x14ac:dyDescent="0.25">
      <c r="A521">
        <v>1411</v>
      </c>
      <c r="B521" t="s">
        <v>19</v>
      </c>
      <c r="C521" t="s">
        <v>2203</v>
      </c>
      <c r="D521" t="s">
        <v>219</v>
      </c>
      <c r="E521">
        <v>1342</v>
      </c>
      <c r="F521" t="s">
        <v>817</v>
      </c>
      <c r="G521">
        <v>12</v>
      </c>
      <c r="H521" t="s">
        <v>540</v>
      </c>
      <c r="J521" t="s">
        <v>2200</v>
      </c>
    </row>
    <row r="522" spans="1:17" x14ac:dyDescent="0.25">
      <c r="A522">
        <v>1411</v>
      </c>
      <c r="B522" t="s">
        <v>19</v>
      </c>
      <c r="C522" t="s">
        <v>2203</v>
      </c>
      <c r="D522" t="s">
        <v>219</v>
      </c>
      <c r="E522">
        <v>1342</v>
      </c>
      <c r="F522" t="s">
        <v>817</v>
      </c>
      <c r="G522">
        <v>12</v>
      </c>
      <c r="H522" t="s">
        <v>469</v>
      </c>
      <c r="J522" t="s">
        <v>2201</v>
      </c>
    </row>
    <row r="523" spans="1:17" x14ac:dyDescent="0.25">
      <c r="A523">
        <v>1411</v>
      </c>
      <c r="B523" t="s">
        <v>19</v>
      </c>
      <c r="C523" t="s">
        <v>2203</v>
      </c>
      <c r="D523" t="s">
        <v>219</v>
      </c>
      <c r="E523">
        <v>1342</v>
      </c>
      <c r="F523" t="s">
        <v>817</v>
      </c>
      <c r="G523">
        <v>12</v>
      </c>
      <c r="H523" s="8" t="s">
        <v>417</v>
      </c>
      <c r="J523" t="s">
        <v>2219</v>
      </c>
      <c r="K523" t="s">
        <v>2220</v>
      </c>
      <c r="L523" t="s">
        <v>608</v>
      </c>
    </row>
    <row r="524" spans="1:17" x14ac:dyDescent="0.25">
      <c r="A524">
        <v>1411</v>
      </c>
      <c r="B524" t="s">
        <v>19</v>
      </c>
      <c r="C524" t="s">
        <v>2203</v>
      </c>
      <c r="D524" t="s">
        <v>219</v>
      </c>
      <c r="E524">
        <v>1342</v>
      </c>
      <c r="F524" t="s">
        <v>817</v>
      </c>
      <c r="G524">
        <v>12</v>
      </c>
      <c r="H524" s="8" t="s">
        <v>398</v>
      </c>
      <c r="K524" t="s">
        <v>2210</v>
      </c>
      <c r="L524" t="s">
        <v>2205</v>
      </c>
      <c r="Q524" t="s">
        <v>2209</v>
      </c>
    </row>
    <row r="525" spans="1:17" x14ac:dyDescent="0.25">
      <c r="A525">
        <v>1411</v>
      </c>
      <c r="B525" t="s">
        <v>19</v>
      </c>
      <c r="C525" t="s">
        <v>2203</v>
      </c>
      <c r="D525" t="s">
        <v>219</v>
      </c>
      <c r="E525">
        <v>1342</v>
      </c>
      <c r="F525" t="s">
        <v>817</v>
      </c>
      <c r="G525">
        <v>12</v>
      </c>
      <c r="H525" t="s">
        <v>2221</v>
      </c>
    </row>
    <row r="526" spans="1:17" x14ac:dyDescent="0.25">
      <c r="A526">
        <v>1411</v>
      </c>
      <c r="B526" t="s">
        <v>19</v>
      </c>
      <c r="C526" t="s">
        <v>2203</v>
      </c>
      <c r="D526" t="s">
        <v>219</v>
      </c>
      <c r="E526">
        <v>1342</v>
      </c>
      <c r="F526" t="s">
        <v>817</v>
      </c>
      <c r="G526">
        <v>12</v>
      </c>
      <c r="H526" t="s">
        <v>3880</v>
      </c>
      <c r="Q526" t="s">
        <v>2222</v>
      </c>
    </row>
    <row r="527" spans="1:17" x14ac:dyDescent="0.25">
      <c r="A527">
        <v>1421</v>
      </c>
      <c r="B527" t="s">
        <v>2227</v>
      </c>
      <c r="C527" t="s">
        <v>33</v>
      </c>
      <c r="D527" t="s">
        <v>219</v>
      </c>
      <c r="E527">
        <v>1342</v>
      </c>
      <c r="F527" t="s">
        <v>817</v>
      </c>
      <c r="G527">
        <v>12</v>
      </c>
      <c r="H527" t="s">
        <v>1934</v>
      </c>
      <c r="I527" t="s">
        <v>2240</v>
      </c>
      <c r="K527" t="s">
        <v>2245</v>
      </c>
      <c r="L527" t="s">
        <v>2241</v>
      </c>
    </row>
    <row r="528" spans="1:17" x14ac:dyDescent="0.25">
      <c r="A528">
        <v>1421</v>
      </c>
      <c r="B528" t="s">
        <v>2227</v>
      </c>
      <c r="C528" t="s">
        <v>33</v>
      </c>
      <c r="D528" t="s">
        <v>219</v>
      </c>
      <c r="E528">
        <v>1342</v>
      </c>
      <c r="F528" t="s">
        <v>817</v>
      </c>
      <c r="G528">
        <v>12</v>
      </c>
      <c r="H528" t="s">
        <v>2239</v>
      </c>
      <c r="I528" t="s">
        <v>2240</v>
      </c>
      <c r="K528" t="s">
        <v>2245</v>
      </c>
      <c r="L528" t="s">
        <v>2241</v>
      </c>
    </row>
    <row r="529" spans="1:17" x14ac:dyDescent="0.25">
      <c r="A529">
        <v>1421</v>
      </c>
      <c r="B529" t="s">
        <v>2227</v>
      </c>
      <c r="C529" t="s">
        <v>33</v>
      </c>
      <c r="D529" t="s">
        <v>219</v>
      </c>
      <c r="E529">
        <v>1342</v>
      </c>
      <c r="F529" t="s">
        <v>817</v>
      </c>
      <c r="G529">
        <v>12</v>
      </c>
      <c r="H529" t="s">
        <v>1816</v>
      </c>
      <c r="I529" t="s">
        <v>2234</v>
      </c>
      <c r="K529" t="s">
        <v>2235</v>
      </c>
      <c r="L529" t="s">
        <v>2236</v>
      </c>
    </row>
    <row r="530" spans="1:17" x14ac:dyDescent="0.25">
      <c r="A530">
        <v>1421</v>
      </c>
      <c r="B530" t="s">
        <v>2227</v>
      </c>
      <c r="C530" t="s">
        <v>33</v>
      </c>
      <c r="D530" t="s">
        <v>219</v>
      </c>
      <c r="E530">
        <v>1342</v>
      </c>
      <c r="F530" t="s">
        <v>817</v>
      </c>
      <c r="G530">
        <v>12</v>
      </c>
      <c r="H530" t="s">
        <v>1934</v>
      </c>
      <c r="I530" t="s">
        <v>2238</v>
      </c>
    </row>
    <row r="531" spans="1:17" x14ac:dyDescent="0.25">
      <c r="A531">
        <v>1421</v>
      </c>
      <c r="B531" t="s">
        <v>2227</v>
      </c>
      <c r="C531" t="s">
        <v>33</v>
      </c>
      <c r="D531" t="s">
        <v>219</v>
      </c>
      <c r="E531">
        <v>1342</v>
      </c>
      <c r="F531" t="s">
        <v>817</v>
      </c>
      <c r="G531">
        <v>12</v>
      </c>
      <c r="H531" s="8" t="s">
        <v>398</v>
      </c>
      <c r="I531" t="s">
        <v>2243</v>
      </c>
      <c r="K531" t="s">
        <v>2244</v>
      </c>
      <c r="L531" t="s">
        <v>2246</v>
      </c>
    </row>
    <row r="532" spans="1:17" x14ac:dyDescent="0.25">
      <c r="A532">
        <v>1421</v>
      </c>
      <c r="B532" t="s">
        <v>2227</v>
      </c>
      <c r="C532" t="s">
        <v>33</v>
      </c>
      <c r="D532" t="s">
        <v>219</v>
      </c>
      <c r="E532">
        <v>1342</v>
      </c>
      <c r="F532" t="s">
        <v>817</v>
      </c>
      <c r="G532">
        <v>12</v>
      </c>
      <c r="H532" t="s">
        <v>227</v>
      </c>
      <c r="I532" t="s">
        <v>730</v>
      </c>
    </row>
    <row r="533" spans="1:17" x14ac:dyDescent="0.25">
      <c r="A533">
        <v>1421</v>
      </c>
      <c r="B533" t="s">
        <v>2227</v>
      </c>
      <c r="C533" t="s">
        <v>33</v>
      </c>
      <c r="D533" t="s">
        <v>219</v>
      </c>
      <c r="E533">
        <v>1342</v>
      </c>
      <c r="F533" t="s">
        <v>817</v>
      </c>
      <c r="G533">
        <v>12</v>
      </c>
      <c r="H533" t="s">
        <v>1900</v>
      </c>
      <c r="I533" t="s">
        <v>33</v>
      </c>
      <c r="K533" t="s">
        <v>2250</v>
      </c>
      <c r="L533" t="s">
        <v>2251</v>
      </c>
    </row>
    <row r="534" spans="1:17" x14ac:dyDescent="0.25">
      <c r="A534">
        <v>1421</v>
      </c>
      <c r="B534" t="s">
        <v>2227</v>
      </c>
      <c r="C534" t="s">
        <v>33</v>
      </c>
      <c r="D534" t="s">
        <v>219</v>
      </c>
      <c r="E534">
        <v>1342</v>
      </c>
      <c r="F534" t="s">
        <v>817</v>
      </c>
      <c r="G534">
        <v>12</v>
      </c>
      <c r="H534" s="8" t="s">
        <v>398</v>
      </c>
      <c r="J534" t="s">
        <v>2247</v>
      </c>
      <c r="K534" t="s">
        <v>1072</v>
      </c>
      <c r="L534" t="s">
        <v>2248</v>
      </c>
    </row>
    <row r="535" spans="1:17" x14ac:dyDescent="0.25">
      <c r="A535">
        <v>1421</v>
      </c>
      <c r="B535" t="s">
        <v>2227</v>
      </c>
      <c r="C535" t="s">
        <v>33</v>
      </c>
      <c r="D535" t="s">
        <v>219</v>
      </c>
      <c r="E535">
        <v>1342</v>
      </c>
      <c r="F535" t="s">
        <v>817</v>
      </c>
      <c r="G535">
        <v>12</v>
      </c>
      <c r="H535" t="s">
        <v>389</v>
      </c>
      <c r="J535" t="s">
        <v>2229</v>
      </c>
      <c r="K535" t="s">
        <v>2230</v>
      </c>
      <c r="L535" t="s">
        <v>2231</v>
      </c>
    </row>
    <row r="536" spans="1:17" x14ac:dyDescent="0.25">
      <c r="A536">
        <v>1421</v>
      </c>
      <c r="B536" t="s">
        <v>2227</v>
      </c>
      <c r="C536" t="s">
        <v>33</v>
      </c>
      <c r="D536" t="s">
        <v>219</v>
      </c>
      <c r="E536">
        <v>1342</v>
      </c>
      <c r="F536" t="s">
        <v>817</v>
      </c>
      <c r="G536">
        <v>12</v>
      </c>
      <c r="H536" t="s">
        <v>488</v>
      </c>
      <c r="J536" t="s">
        <v>2232</v>
      </c>
      <c r="K536" t="s">
        <v>2233</v>
      </c>
    </row>
    <row r="537" spans="1:17" x14ac:dyDescent="0.25">
      <c r="A537">
        <v>1431</v>
      </c>
      <c r="B537" s="22" t="s">
        <v>7</v>
      </c>
      <c r="C537" t="s">
        <v>2257</v>
      </c>
      <c r="D537" t="s">
        <v>219</v>
      </c>
      <c r="E537">
        <v>1342</v>
      </c>
      <c r="F537" t="s">
        <v>817</v>
      </c>
      <c r="G537">
        <v>12</v>
      </c>
      <c r="H537" t="s">
        <v>2258</v>
      </c>
      <c r="I537" t="s">
        <v>1793</v>
      </c>
    </row>
    <row r="538" spans="1:17" x14ac:dyDescent="0.25">
      <c r="A538">
        <v>1432</v>
      </c>
      <c r="B538" t="s">
        <v>2754</v>
      </c>
      <c r="C538" t="s">
        <v>1626</v>
      </c>
      <c r="D538" t="s">
        <v>219</v>
      </c>
      <c r="E538">
        <v>1343</v>
      </c>
      <c r="F538" t="s">
        <v>817</v>
      </c>
      <c r="G538">
        <v>18</v>
      </c>
      <c r="H538" t="s">
        <v>2265</v>
      </c>
      <c r="I538" t="s">
        <v>1657</v>
      </c>
      <c r="K538" t="s">
        <v>2269</v>
      </c>
      <c r="L538" t="s">
        <v>2270</v>
      </c>
      <c r="M538" t="s">
        <v>2271</v>
      </c>
      <c r="N538" t="s">
        <v>2272</v>
      </c>
      <c r="Q538" t="s">
        <v>2267</v>
      </c>
    </row>
    <row r="539" spans="1:17" x14ac:dyDescent="0.25">
      <c r="A539">
        <v>1441</v>
      </c>
      <c r="B539" t="s">
        <v>2288</v>
      </c>
      <c r="C539" t="s">
        <v>2278</v>
      </c>
      <c r="D539" t="s">
        <v>219</v>
      </c>
      <c r="E539" s="5">
        <v>1345</v>
      </c>
      <c r="F539" t="s">
        <v>1038</v>
      </c>
      <c r="G539">
        <v>23</v>
      </c>
      <c r="H539" t="s">
        <v>2279</v>
      </c>
      <c r="I539" t="s">
        <v>2280</v>
      </c>
    </row>
    <row r="540" spans="1:17" x14ac:dyDescent="0.25">
      <c r="A540">
        <v>1443</v>
      </c>
      <c r="B540" t="s">
        <v>3755</v>
      </c>
      <c r="C540" t="s">
        <v>2291</v>
      </c>
      <c r="D540" t="s">
        <v>220</v>
      </c>
      <c r="E540" s="5">
        <v>1345</v>
      </c>
      <c r="F540" t="s">
        <v>1038</v>
      </c>
      <c r="G540">
        <v>23</v>
      </c>
      <c r="H540" t="s">
        <v>3887</v>
      </c>
      <c r="I540" t="s">
        <v>2293</v>
      </c>
      <c r="K540" t="s">
        <v>2294</v>
      </c>
      <c r="L540" t="s">
        <v>2295</v>
      </c>
      <c r="M540" t="s">
        <v>2296</v>
      </c>
      <c r="N540" t="s">
        <v>2297</v>
      </c>
      <c r="O540" t="s">
        <v>2298</v>
      </c>
    </row>
    <row r="541" spans="1:17" x14ac:dyDescent="0.25">
      <c r="A541">
        <v>1451</v>
      </c>
      <c r="B541" t="s">
        <v>107</v>
      </c>
      <c r="C541" t="s">
        <v>2303</v>
      </c>
      <c r="D541" t="s">
        <v>219</v>
      </c>
      <c r="E541" s="16">
        <v>1342</v>
      </c>
      <c r="F541" s="16" t="s">
        <v>817</v>
      </c>
      <c r="G541" t="s">
        <v>15</v>
      </c>
      <c r="H541" t="s">
        <v>725</v>
      </c>
      <c r="I541" t="s">
        <v>2305</v>
      </c>
    </row>
    <row r="542" spans="1:17" x14ac:dyDescent="0.25">
      <c r="A542">
        <v>1452</v>
      </c>
      <c r="B542" t="s">
        <v>2310</v>
      </c>
      <c r="C542" t="s">
        <v>1810</v>
      </c>
      <c r="D542" t="s">
        <v>219</v>
      </c>
      <c r="E542" s="16">
        <v>1342</v>
      </c>
      <c r="F542" s="16" t="s">
        <v>817</v>
      </c>
      <c r="G542" t="s">
        <v>15</v>
      </c>
      <c r="H542" t="s">
        <v>2325</v>
      </c>
      <c r="I542" t="s">
        <v>15</v>
      </c>
    </row>
    <row r="543" spans="1:17" x14ac:dyDescent="0.25">
      <c r="A543">
        <v>1452</v>
      </c>
      <c r="B543" t="s">
        <v>2310</v>
      </c>
      <c r="C543" t="s">
        <v>1810</v>
      </c>
      <c r="D543" t="s">
        <v>219</v>
      </c>
      <c r="E543" s="16">
        <v>1342</v>
      </c>
      <c r="F543" s="16" t="s">
        <v>817</v>
      </c>
      <c r="G543" t="s">
        <v>15</v>
      </c>
      <c r="H543" t="s">
        <v>227</v>
      </c>
      <c r="I543" t="s">
        <v>15</v>
      </c>
    </row>
    <row r="544" spans="1:17" x14ac:dyDescent="0.25">
      <c r="A544">
        <v>1452</v>
      </c>
      <c r="B544" t="s">
        <v>2310</v>
      </c>
      <c r="C544" t="s">
        <v>1810</v>
      </c>
      <c r="D544" t="s">
        <v>219</v>
      </c>
      <c r="E544" s="16">
        <v>1342</v>
      </c>
      <c r="F544" s="16" t="s">
        <v>817</v>
      </c>
      <c r="G544" t="s">
        <v>15</v>
      </c>
      <c r="H544" s="8" t="s">
        <v>398</v>
      </c>
      <c r="I544" t="s">
        <v>2320</v>
      </c>
    </row>
    <row r="545" spans="1:17" x14ac:dyDescent="0.25">
      <c r="A545">
        <v>1452</v>
      </c>
      <c r="B545" t="s">
        <v>2310</v>
      </c>
      <c r="C545" t="s">
        <v>1810</v>
      </c>
      <c r="D545" t="s">
        <v>219</v>
      </c>
      <c r="E545" s="16">
        <v>1342</v>
      </c>
      <c r="F545" s="16" t="s">
        <v>817</v>
      </c>
      <c r="G545" t="s">
        <v>15</v>
      </c>
      <c r="H545" t="s">
        <v>645</v>
      </c>
      <c r="I545" t="s">
        <v>2317</v>
      </c>
    </row>
    <row r="546" spans="1:17" x14ac:dyDescent="0.25">
      <c r="A546">
        <v>1452</v>
      </c>
      <c r="B546" t="s">
        <v>2310</v>
      </c>
      <c r="C546" t="s">
        <v>1810</v>
      </c>
      <c r="D546" t="s">
        <v>219</v>
      </c>
      <c r="E546" s="16">
        <v>1342</v>
      </c>
      <c r="F546" s="16" t="s">
        <v>817</v>
      </c>
      <c r="G546" t="s">
        <v>15</v>
      </c>
      <c r="H546" s="8" t="s">
        <v>398</v>
      </c>
      <c r="I546" t="s">
        <v>2317</v>
      </c>
    </row>
    <row r="547" spans="1:17" x14ac:dyDescent="0.25">
      <c r="A547">
        <v>1452</v>
      </c>
      <c r="B547" t="s">
        <v>2310</v>
      </c>
      <c r="C547" t="s">
        <v>1810</v>
      </c>
      <c r="D547" t="s">
        <v>219</v>
      </c>
      <c r="E547" s="16">
        <v>1342</v>
      </c>
      <c r="F547" s="16" t="s">
        <v>817</v>
      </c>
      <c r="G547" t="s">
        <v>15</v>
      </c>
      <c r="H547" s="8" t="s">
        <v>398</v>
      </c>
      <c r="I547" t="s">
        <v>2324</v>
      </c>
    </row>
    <row r="548" spans="1:17" x14ac:dyDescent="0.25">
      <c r="A548">
        <v>1452</v>
      </c>
      <c r="B548" t="s">
        <v>2310</v>
      </c>
      <c r="C548" t="s">
        <v>1810</v>
      </c>
      <c r="D548" t="s">
        <v>219</v>
      </c>
      <c r="E548" s="16">
        <v>1342</v>
      </c>
      <c r="F548" s="16" t="s">
        <v>817</v>
      </c>
      <c r="G548" t="s">
        <v>15</v>
      </c>
      <c r="H548" t="s">
        <v>2325</v>
      </c>
      <c r="I548" t="s">
        <v>2345</v>
      </c>
    </row>
    <row r="549" spans="1:17" x14ac:dyDescent="0.25">
      <c r="A549">
        <v>1452</v>
      </c>
      <c r="B549" t="s">
        <v>2310</v>
      </c>
      <c r="C549" t="s">
        <v>1810</v>
      </c>
      <c r="D549" t="s">
        <v>219</v>
      </c>
      <c r="E549" s="16">
        <v>1342</v>
      </c>
      <c r="F549" s="16" t="s">
        <v>817</v>
      </c>
      <c r="G549" t="s">
        <v>15</v>
      </c>
      <c r="H549" t="s">
        <v>2325</v>
      </c>
      <c r="I549" t="s">
        <v>2345</v>
      </c>
    </row>
    <row r="550" spans="1:17" x14ac:dyDescent="0.25">
      <c r="A550">
        <v>1452</v>
      </c>
      <c r="B550" t="s">
        <v>2310</v>
      </c>
      <c r="C550" t="s">
        <v>1810</v>
      </c>
      <c r="D550" t="s">
        <v>219</v>
      </c>
      <c r="E550" s="16">
        <v>1342</v>
      </c>
      <c r="F550" s="16" t="s">
        <v>817</v>
      </c>
      <c r="G550" t="s">
        <v>15</v>
      </c>
      <c r="H550" t="s">
        <v>645</v>
      </c>
      <c r="I550" t="s">
        <v>2319</v>
      </c>
    </row>
    <row r="551" spans="1:17" x14ac:dyDescent="0.25">
      <c r="A551">
        <v>1452</v>
      </c>
      <c r="B551" t="s">
        <v>2310</v>
      </c>
      <c r="C551" t="s">
        <v>1810</v>
      </c>
      <c r="D551" t="s">
        <v>219</v>
      </c>
      <c r="E551" s="16">
        <v>1342</v>
      </c>
      <c r="F551" s="16" t="s">
        <v>817</v>
      </c>
      <c r="G551" t="s">
        <v>15</v>
      </c>
      <c r="H551" t="s">
        <v>645</v>
      </c>
      <c r="I551" t="s">
        <v>2316</v>
      </c>
    </row>
    <row r="552" spans="1:17" x14ac:dyDescent="0.25">
      <c r="A552">
        <v>1452</v>
      </c>
      <c r="B552" t="s">
        <v>2310</v>
      </c>
      <c r="C552" t="s">
        <v>1810</v>
      </c>
      <c r="D552" t="s">
        <v>219</v>
      </c>
      <c r="E552" s="16">
        <v>1342</v>
      </c>
      <c r="F552" s="16" t="s">
        <v>817</v>
      </c>
      <c r="G552" t="s">
        <v>15</v>
      </c>
      <c r="H552" t="s">
        <v>2325</v>
      </c>
      <c r="I552" t="s">
        <v>2328</v>
      </c>
      <c r="Q552" t="s">
        <v>2330</v>
      </c>
    </row>
    <row r="553" spans="1:17" x14ac:dyDescent="0.25">
      <c r="A553">
        <v>1452</v>
      </c>
      <c r="B553" t="s">
        <v>2310</v>
      </c>
      <c r="C553" t="s">
        <v>1810</v>
      </c>
      <c r="D553" t="s">
        <v>219</v>
      </c>
      <c r="E553" s="16">
        <v>1342</v>
      </c>
      <c r="F553" s="16" t="s">
        <v>817</v>
      </c>
      <c r="G553" t="s">
        <v>15</v>
      </c>
      <c r="H553" t="s">
        <v>2325</v>
      </c>
      <c r="I553" t="s">
        <v>2328</v>
      </c>
      <c r="Q553" t="s">
        <v>2330</v>
      </c>
    </row>
    <row r="554" spans="1:17" x14ac:dyDescent="0.25">
      <c r="A554">
        <v>1452</v>
      </c>
      <c r="B554" t="s">
        <v>2310</v>
      </c>
      <c r="C554" t="s">
        <v>1810</v>
      </c>
      <c r="D554" t="s">
        <v>219</v>
      </c>
      <c r="E554" s="16">
        <v>1342</v>
      </c>
      <c r="F554" s="16" t="s">
        <v>817</v>
      </c>
      <c r="G554" t="s">
        <v>15</v>
      </c>
      <c r="H554" t="s">
        <v>2325</v>
      </c>
      <c r="I554" t="s">
        <v>2327</v>
      </c>
      <c r="Q554" t="s">
        <v>2330</v>
      </c>
    </row>
    <row r="555" spans="1:17" x14ac:dyDescent="0.25">
      <c r="A555">
        <v>1452</v>
      </c>
      <c r="B555" t="s">
        <v>2310</v>
      </c>
      <c r="C555" t="s">
        <v>1810</v>
      </c>
      <c r="D555" t="s">
        <v>219</v>
      </c>
      <c r="E555" s="16">
        <v>1342</v>
      </c>
      <c r="F555" s="16" t="s">
        <v>817</v>
      </c>
      <c r="G555" t="s">
        <v>15</v>
      </c>
      <c r="H555" t="s">
        <v>2325</v>
      </c>
      <c r="I555" t="s">
        <v>2327</v>
      </c>
      <c r="Q555" t="s">
        <v>2330</v>
      </c>
    </row>
    <row r="556" spans="1:17" x14ac:dyDescent="0.25">
      <c r="A556">
        <v>1452</v>
      </c>
      <c r="B556" t="s">
        <v>2310</v>
      </c>
      <c r="C556" t="s">
        <v>1810</v>
      </c>
      <c r="D556" t="s">
        <v>219</v>
      </c>
      <c r="E556" s="16">
        <v>1342</v>
      </c>
      <c r="F556" s="16" t="s">
        <v>817</v>
      </c>
      <c r="G556" t="s">
        <v>15</v>
      </c>
      <c r="H556" s="8" t="s">
        <v>398</v>
      </c>
      <c r="I556" t="s">
        <v>2321</v>
      </c>
    </row>
    <row r="557" spans="1:17" x14ac:dyDescent="0.25">
      <c r="A557">
        <v>1452</v>
      </c>
      <c r="B557" t="s">
        <v>2310</v>
      </c>
      <c r="C557" t="s">
        <v>1810</v>
      </c>
      <c r="D557" t="s">
        <v>219</v>
      </c>
      <c r="E557" s="16">
        <v>1342</v>
      </c>
      <c r="F557" s="16" t="s">
        <v>817</v>
      </c>
      <c r="G557" t="s">
        <v>15</v>
      </c>
      <c r="H557" t="s">
        <v>472</v>
      </c>
      <c r="I557" t="s">
        <v>1862</v>
      </c>
    </row>
    <row r="558" spans="1:17" x14ac:dyDescent="0.25">
      <c r="A558">
        <v>1452</v>
      </c>
      <c r="B558" t="s">
        <v>2310</v>
      </c>
      <c r="C558" t="s">
        <v>1810</v>
      </c>
      <c r="D558" t="s">
        <v>219</v>
      </c>
      <c r="E558" s="16">
        <v>1342</v>
      </c>
      <c r="F558" s="16" t="s">
        <v>817</v>
      </c>
      <c r="G558" t="s">
        <v>15</v>
      </c>
      <c r="H558" t="s">
        <v>645</v>
      </c>
      <c r="I558" t="s">
        <v>2318</v>
      </c>
    </row>
    <row r="559" spans="1:17" x14ac:dyDescent="0.25">
      <c r="A559">
        <v>1452</v>
      </c>
      <c r="B559" t="s">
        <v>2310</v>
      </c>
      <c r="C559" t="s">
        <v>1810</v>
      </c>
      <c r="D559" t="s">
        <v>219</v>
      </c>
      <c r="E559" s="16">
        <v>1342</v>
      </c>
      <c r="F559" s="16" t="s">
        <v>817</v>
      </c>
      <c r="G559" t="s">
        <v>15</v>
      </c>
      <c r="H559" t="s">
        <v>488</v>
      </c>
      <c r="I559" t="s">
        <v>2315</v>
      </c>
    </row>
    <row r="560" spans="1:17" x14ac:dyDescent="0.25">
      <c r="A560">
        <v>1452</v>
      </c>
      <c r="B560" t="s">
        <v>2310</v>
      </c>
      <c r="C560" t="s">
        <v>1810</v>
      </c>
      <c r="D560" t="s">
        <v>219</v>
      </c>
      <c r="E560" s="16">
        <v>1342</v>
      </c>
      <c r="F560" s="16" t="s">
        <v>817</v>
      </c>
      <c r="G560" t="s">
        <v>15</v>
      </c>
      <c r="H560" t="s">
        <v>2333</v>
      </c>
      <c r="I560" t="s">
        <v>2332</v>
      </c>
    </row>
    <row r="561" spans="1:17" x14ac:dyDescent="0.25">
      <c r="A561">
        <v>1452</v>
      </c>
      <c r="B561" t="s">
        <v>2310</v>
      </c>
      <c r="C561" t="s">
        <v>1810</v>
      </c>
      <c r="D561" t="s">
        <v>219</v>
      </c>
      <c r="E561" s="16">
        <v>1342</v>
      </c>
      <c r="F561" s="16" t="s">
        <v>817</v>
      </c>
      <c r="G561" t="s">
        <v>15</v>
      </c>
      <c r="H561" t="s">
        <v>2325</v>
      </c>
      <c r="I561" t="s">
        <v>2329</v>
      </c>
      <c r="Q561" t="s">
        <v>2330</v>
      </c>
    </row>
    <row r="562" spans="1:17" x14ac:dyDescent="0.25">
      <c r="A562">
        <v>1452</v>
      </c>
      <c r="B562" t="s">
        <v>2310</v>
      </c>
      <c r="C562" t="s">
        <v>1810</v>
      </c>
      <c r="D562" t="s">
        <v>219</v>
      </c>
      <c r="E562" s="16">
        <v>1342</v>
      </c>
      <c r="F562" s="16" t="s">
        <v>817</v>
      </c>
      <c r="G562" t="s">
        <v>15</v>
      </c>
      <c r="H562" t="s">
        <v>2325</v>
      </c>
      <c r="I562" t="s">
        <v>2329</v>
      </c>
      <c r="Q562" t="s">
        <v>2330</v>
      </c>
    </row>
    <row r="563" spans="1:17" x14ac:dyDescent="0.25">
      <c r="A563">
        <v>1452</v>
      </c>
      <c r="B563" t="s">
        <v>2310</v>
      </c>
      <c r="C563" t="s">
        <v>1810</v>
      </c>
      <c r="D563" t="s">
        <v>219</v>
      </c>
      <c r="E563" s="16">
        <v>1342</v>
      </c>
      <c r="F563" s="16" t="s">
        <v>817</v>
      </c>
      <c r="G563" t="s">
        <v>15</v>
      </c>
      <c r="H563" t="s">
        <v>2325</v>
      </c>
      <c r="I563" t="s">
        <v>2326</v>
      </c>
      <c r="Q563" t="s">
        <v>2330</v>
      </c>
    </row>
    <row r="564" spans="1:17" x14ac:dyDescent="0.25">
      <c r="A564">
        <v>1452</v>
      </c>
      <c r="B564" t="s">
        <v>2310</v>
      </c>
      <c r="C564" t="s">
        <v>1810</v>
      </c>
      <c r="D564" t="s">
        <v>219</v>
      </c>
      <c r="E564" s="16">
        <v>1342</v>
      </c>
      <c r="F564" s="16" t="s">
        <v>817</v>
      </c>
      <c r="G564" t="s">
        <v>15</v>
      </c>
      <c r="H564" t="s">
        <v>2325</v>
      </c>
      <c r="I564" t="s">
        <v>2326</v>
      </c>
      <c r="Q564" t="s">
        <v>2330</v>
      </c>
    </row>
    <row r="565" spans="1:17" x14ac:dyDescent="0.25">
      <c r="A565">
        <v>1452</v>
      </c>
      <c r="B565" t="s">
        <v>2310</v>
      </c>
      <c r="C565" t="s">
        <v>1810</v>
      </c>
      <c r="D565" t="s">
        <v>219</v>
      </c>
      <c r="E565" s="16">
        <v>1342</v>
      </c>
      <c r="F565" s="16" t="s">
        <v>817</v>
      </c>
      <c r="G565" t="s">
        <v>15</v>
      </c>
      <c r="H565" t="s">
        <v>2322</v>
      </c>
      <c r="I565" t="s">
        <v>2323</v>
      </c>
    </row>
    <row r="566" spans="1:17" x14ac:dyDescent="0.25">
      <c r="A566">
        <v>1452</v>
      </c>
      <c r="B566" t="s">
        <v>2310</v>
      </c>
      <c r="C566" t="s">
        <v>1810</v>
      </c>
      <c r="D566" t="s">
        <v>219</v>
      </c>
      <c r="E566" s="16">
        <v>1342</v>
      </c>
      <c r="F566" s="16" t="s">
        <v>817</v>
      </c>
      <c r="G566" t="s">
        <v>15</v>
      </c>
      <c r="H566" t="s">
        <v>833</v>
      </c>
      <c r="J566" t="s">
        <v>2336</v>
      </c>
      <c r="K566" t="s">
        <v>2337</v>
      </c>
      <c r="L566" t="s">
        <v>2338</v>
      </c>
      <c r="M566" t="s">
        <v>2339</v>
      </c>
    </row>
    <row r="567" spans="1:17" x14ac:dyDescent="0.25">
      <c r="A567">
        <v>1452</v>
      </c>
      <c r="B567" t="s">
        <v>2310</v>
      </c>
      <c r="C567" t="s">
        <v>1810</v>
      </c>
      <c r="D567" t="s">
        <v>219</v>
      </c>
      <c r="E567" s="16">
        <v>1342</v>
      </c>
      <c r="F567" s="16" t="s">
        <v>817</v>
      </c>
      <c r="G567" t="s">
        <v>15</v>
      </c>
      <c r="H567" t="s">
        <v>292</v>
      </c>
      <c r="J567" t="s">
        <v>2346</v>
      </c>
    </row>
    <row r="568" spans="1:17" x14ac:dyDescent="0.25">
      <c r="A568">
        <v>1452</v>
      </c>
      <c r="B568" t="s">
        <v>2310</v>
      </c>
      <c r="C568" t="s">
        <v>1810</v>
      </c>
      <c r="D568" t="s">
        <v>219</v>
      </c>
      <c r="E568" s="16">
        <v>1342</v>
      </c>
      <c r="F568" s="16" t="s">
        <v>817</v>
      </c>
      <c r="G568" t="s">
        <v>15</v>
      </c>
      <c r="H568" t="s">
        <v>389</v>
      </c>
      <c r="J568" t="s">
        <v>2312</v>
      </c>
      <c r="K568" t="s">
        <v>2313</v>
      </c>
    </row>
    <row r="569" spans="1:17" x14ac:dyDescent="0.25">
      <c r="A569">
        <v>1452</v>
      </c>
      <c r="B569" t="s">
        <v>2310</v>
      </c>
      <c r="C569" t="s">
        <v>1810</v>
      </c>
      <c r="D569" t="s">
        <v>219</v>
      </c>
      <c r="E569" s="16">
        <v>1342</v>
      </c>
      <c r="F569" s="16" t="s">
        <v>817</v>
      </c>
      <c r="G569" t="s">
        <v>15</v>
      </c>
      <c r="H569" t="s">
        <v>3886</v>
      </c>
      <c r="J569" t="s">
        <v>2341</v>
      </c>
      <c r="K569" t="s">
        <v>2340</v>
      </c>
      <c r="L569" t="s">
        <v>2340</v>
      </c>
      <c r="M569" t="s">
        <v>2340</v>
      </c>
    </row>
    <row r="570" spans="1:17" x14ac:dyDescent="0.25">
      <c r="A570">
        <v>1452</v>
      </c>
      <c r="B570" t="s">
        <v>2310</v>
      </c>
      <c r="C570" t="s">
        <v>1810</v>
      </c>
      <c r="D570" t="s">
        <v>219</v>
      </c>
      <c r="E570" s="16">
        <v>1342</v>
      </c>
      <c r="F570" s="16" t="s">
        <v>817</v>
      </c>
      <c r="G570" t="s">
        <v>15</v>
      </c>
      <c r="H570" t="s">
        <v>2342</v>
      </c>
      <c r="J570" t="s">
        <v>2343</v>
      </c>
    </row>
    <row r="571" spans="1:17" x14ac:dyDescent="0.25">
      <c r="A571">
        <v>1452</v>
      </c>
      <c r="B571" t="s">
        <v>2310</v>
      </c>
      <c r="C571" t="s">
        <v>1810</v>
      </c>
      <c r="D571" t="s">
        <v>219</v>
      </c>
      <c r="E571" s="16">
        <v>1342</v>
      </c>
      <c r="F571" s="16" t="s">
        <v>817</v>
      </c>
      <c r="G571" t="s">
        <v>15</v>
      </c>
      <c r="H571" t="s">
        <v>488</v>
      </c>
      <c r="K571" t="s">
        <v>2314</v>
      </c>
    </row>
    <row r="572" spans="1:17" x14ac:dyDescent="0.25">
      <c r="A572">
        <v>1452</v>
      </c>
      <c r="B572" t="s">
        <v>2310</v>
      </c>
      <c r="C572" t="s">
        <v>1810</v>
      </c>
      <c r="D572" t="s">
        <v>219</v>
      </c>
      <c r="E572" s="16">
        <v>1342</v>
      </c>
      <c r="F572" s="16" t="s">
        <v>817</v>
      </c>
      <c r="G572" t="s">
        <v>15</v>
      </c>
      <c r="H572" t="s">
        <v>2331</v>
      </c>
    </row>
    <row r="573" spans="1:17" x14ac:dyDescent="0.25">
      <c r="A573">
        <v>1452</v>
      </c>
      <c r="B573" t="s">
        <v>2310</v>
      </c>
      <c r="C573" t="s">
        <v>1810</v>
      </c>
      <c r="D573" t="s">
        <v>219</v>
      </c>
      <c r="E573" s="16">
        <v>1342</v>
      </c>
      <c r="F573" s="16" t="s">
        <v>817</v>
      </c>
      <c r="G573" t="s">
        <v>15</v>
      </c>
      <c r="H573" t="s">
        <v>15</v>
      </c>
    </row>
    <row r="574" spans="1:17" x14ac:dyDescent="0.25">
      <c r="A574">
        <v>1461</v>
      </c>
      <c r="B574" t="s">
        <v>2348</v>
      </c>
      <c r="C574" t="s">
        <v>2070</v>
      </c>
      <c r="D574" t="s">
        <v>219</v>
      </c>
      <c r="E574" s="16">
        <v>1342</v>
      </c>
      <c r="F574" s="16" t="s">
        <v>817</v>
      </c>
      <c r="G574" t="s">
        <v>15</v>
      </c>
      <c r="H574" t="s">
        <v>645</v>
      </c>
      <c r="I574" t="s">
        <v>2360</v>
      </c>
      <c r="Q574" t="s">
        <v>2358</v>
      </c>
    </row>
    <row r="575" spans="1:17" x14ac:dyDescent="0.25">
      <c r="A575">
        <v>1461</v>
      </c>
      <c r="B575" t="s">
        <v>2348</v>
      </c>
      <c r="C575" t="s">
        <v>2070</v>
      </c>
      <c r="D575" t="s">
        <v>219</v>
      </c>
      <c r="E575" s="16">
        <v>1342</v>
      </c>
      <c r="F575" s="16" t="s">
        <v>817</v>
      </c>
      <c r="G575" t="s">
        <v>15</v>
      </c>
      <c r="H575" s="8" t="s">
        <v>398</v>
      </c>
      <c r="I575" t="s">
        <v>2362</v>
      </c>
      <c r="Q575" t="s">
        <v>2358</v>
      </c>
    </row>
    <row r="576" spans="1:17" x14ac:dyDescent="0.25">
      <c r="A576">
        <v>1461</v>
      </c>
      <c r="B576" t="s">
        <v>2348</v>
      </c>
      <c r="C576" t="s">
        <v>2070</v>
      </c>
      <c r="D576" t="s">
        <v>219</v>
      </c>
      <c r="E576" s="16">
        <v>1342</v>
      </c>
      <c r="F576" s="16" t="s">
        <v>817</v>
      </c>
      <c r="G576" t="s">
        <v>15</v>
      </c>
      <c r="H576" t="s">
        <v>472</v>
      </c>
      <c r="I576" t="s">
        <v>1497</v>
      </c>
      <c r="J576" t="s">
        <v>2357</v>
      </c>
      <c r="Q576" t="s">
        <v>2358</v>
      </c>
    </row>
    <row r="577" spans="1:17" x14ac:dyDescent="0.25">
      <c r="A577">
        <v>1461</v>
      </c>
      <c r="B577" t="s">
        <v>2348</v>
      </c>
      <c r="C577" t="s">
        <v>2070</v>
      </c>
      <c r="D577" t="s">
        <v>219</v>
      </c>
      <c r="E577" s="16">
        <v>1342</v>
      </c>
      <c r="F577" s="16" t="s">
        <v>817</v>
      </c>
      <c r="G577" t="s">
        <v>15</v>
      </c>
      <c r="H577" s="8" t="s">
        <v>398</v>
      </c>
      <c r="I577" t="s">
        <v>2364</v>
      </c>
      <c r="Q577" t="s">
        <v>2358</v>
      </c>
    </row>
    <row r="578" spans="1:17" x14ac:dyDescent="0.25">
      <c r="A578">
        <v>1461</v>
      </c>
      <c r="B578" t="s">
        <v>2348</v>
      </c>
      <c r="C578" t="s">
        <v>2070</v>
      </c>
      <c r="D578" t="s">
        <v>219</v>
      </c>
      <c r="E578" s="16">
        <v>1342</v>
      </c>
      <c r="F578" s="16" t="s">
        <v>817</v>
      </c>
      <c r="G578" t="s">
        <v>15</v>
      </c>
      <c r="H578" t="s">
        <v>1382</v>
      </c>
      <c r="I578" t="s">
        <v>2365</v>
      </c>
      <c r="Q578" t="s">
        <v>2358</v>
      </c>
    </row>
    <row r="579" spans="1:17" x14ac:dyDescent="0.25">
      <c r="A579">
        <v>1461</v>
      </c>
      <c r="B579" t="s">
        <v>2348</v>
      </c>
      <c r="C579" t="s">
        <v>2070</v>
      </c>
      <c r="D579" t="s">
        <v>219</v>
      </c>
      <c r="E579" s="16">
        <v>1342</v>
      </c>
      <c r="F579" s="16" t="s">
        <v>817</v>
      </c>
      <c r="G579" t="s">
        <v>15</v>
      </c>
      <c r="H579" s="8" t="s">
        <v>398</v>
      </c>
      <c r="I579" t="s">
        <v>2363</v>
      </c>
      <c r="Q579" t="s">
        <v>2358</v>
      </c>
    </row>
    <row r="580" spans="1:17" x14ac:dyDescent="0.25">
      <c r="A580">
        <v>1461</v>
      </c>
      <c r="B580" t="s">
        <v>2348</v>
      </c>
      <c r="C580" t="s">
        <v>2070</v>
      </c>
      <c r="D580" t="s">
        <v>219</v>
      </c>
      <c r="E580" s="16">
        <v>1342</v>
      </c>
      <c r="F580" s="16" t="s">
        <v>817</v>
      </c>
      <c r="G580" t="s">
        <v>15</v>
      </c>
      <c r="H580" s="8" t="s">
        <v>417</v>
      </c>
      <c r="J580" t="s">
        <v>2361</v>
      </c>
      <c r="Q580" t="s">
        <v>2358</v>
      </c>
    </row>
    <row r="581" spans="1:17" x14ac:dyDescent="0.25">
      <c r="A581">
        <v>1461</v>
      </c>
      <c r="B581" t="s">
        <v>2348</v>
      </c>
      <c r="C581" t="s">
        <v>2070</v>
      </c>
      <c r="D581" t="s">
        <v>219</v>
      </c>
      <c r="E581" s="16">
        <v>1342</v>
      </c>
      <c r="F581" s="16" t="s">
        <v>817</v>
      </c>
      <c r="G581" t="s">
        <v>15</v>
      </c>
      <c r="H581" t="s">
        <v>488</v>
      </c>
      <c r="J581" t="s">
        <v>2359</v>
      </c>
      <c r="Q581" t="s">
        <v>2358</v>
      </c>
    </row>
    <row r="582" spans="1:17" x14ac:dyDescent="0.25">
      <c r="A582">
        <v>1461</v>
      </c>
      <c r="B582" t="s">
        <v>2348</v>
      </c>
      <c r="C582" t="s">
        <v>2070</v>
      </c>
      <c r="D582" t="s">
        <v>219</v>
      </c>
      <c r="E582" s="16">
        <v>1342</v>
      </c>
      <c r="F582" s="16" t="s">
        <v>817</v>
      </c>
      <c r="G582" t="s">
        <v>15</v>
      </c>
      <c r="H582" t="s">
        <v>1816</v>
      </c>
      <c r="J582" t="s">
        <v>2359</v>
      </c>
      <c r="Q582" t="s">
        <v>2358</v>
      </c>
    </row>
    <row r="583" spans="1:17" x14ac:dyDescent="0.25">
      <c r="A583">
        <v>1461</v>
      </c>
      <c r="B583" t="s">
        <v>2348</v>
      </c>
      <c r="C583" t="s">
        <v>2070</v>
      </c>
      <c r="D583" t="s">
        <v>219</v>
      </c>
      <c r="E583" s="16">
        <v>1342</v>
      </c>
      <c r="F583" s="16" t="s">
        <v>817</v>
      </c>
      <c r="G583" t="s">
        <v>15</v>
      </c>
      <c r="H583" t="s">
        <v>540</v>
      </c>
      <c r="J583" t="s">
        <v>2350</v>
      </c>
    </row>
    <row r="584" spans="1:17" x14ac:dyDescent="0.25">
      <c r="A584">
        <v>1461</v>
      </c>
      <c r="B584" t="s">
        <v>2348</v>
      </c>
      <c r="C584" t="s">
        <v>2070</v>
      </c>
      <c r="D584" t="s">
        <v>219</v>
      </c>
      <c r="E584" s="16">
        <v>1342</v>
      </c>
      <c r="F584" s="16" t="s">
        <v>817</v>
      </c>
      <c r="G584" t="s">
        <v>15</v>
      </c>
      <c r="H584" t="s">
        <v>1153</v>
      </c>
      <c r="K584" t="s">
        <v>2352</v>
      </c>
      <c r="L584" t="s">
        <v>2353</v>
      </c>
      <c r="M584" t="s">
        <v>2354</v>
      </c>
    </row>
    <row r="585" spans="1:17" x14ac:dyDescent="0.25">
      <c r="A585">
        <v>1461</v>
      </c>
      <c r="B585" t="s">
        <v>2348</v>
      </c>
      <c r="C585" t="s">
        <v>2070</v>
      </c>
      <c r="D585" t="s">
        <v>219</v>
      </c>
      <c r="E585" s="16">
        <v>1342</v>
      </c>
      <c r="F585" s="16" t="s">
        <v>817</v>
      </c>
      <c r="G585" t="s">
        <v>15</v>
      </c>
      <c r="H585" t="s">
        <v>227</v>
      </c>
      <c r="Q585" t="s">
        <v>2366</v>
      </c>
    </row>
    <row r="586" spans="1:17" x14ac:dyDescent="0.25">
      <c r="A586">
        <v>1462</v>
      </c>
      <c r="B586" t="s">
        <v>39</v>
      </c>
      <c r="C586" t="s">
        <v>2070</v>
      </c>
      <c r="D586" t="s">
        <v>219</v>
      </c>
      <c r="E586" s="16">
        <v>1342</v>
      </c>
      <c r="F586" s="16" t="s">
        <v>817</v>
      </c>
      <c r="G586" t="s">
        <v>15</v>
      </c>
      <c r="H586" t="s">
        <v>540</v>
      </c>
      <c r="J586" t="s">
        <v>2350</v>
      </c>
    </row>
    <row r="587" spans="1:17" x14ac:dyDescent="0.25">
      <c r="A587">
        <v>1463</v>
      </c>
      <c r="B587" t="s">
        <v>38</v>
      </c>
      <c r="C587" t="s">
        <v>2070</v>
      </c>
      <c r="D587" t="s">
        <v>220</v>
      </c>
      <c r="E587" s="16">
        <v>1342</v>
      </c>
      <c r="F587" s="16" t="s">
        <v>817</v>
      </c>
      <c r="G587" t="s">
        <v>15</v>
      </c>
      <c r="H587" t="s">
        <v>540</v>
      </c>
      <c r="J587" t="s">
        <v>2350</v>
      </c>
    </row>
    <row r="588" spans="1:17" x14ac:dyDescent="0.25">
      <c r="A588">
        <v>1471</v>
      </c>
      <c r="B588" t="s">
        <v>2481</v>
      </c>
      <c r="C588" t="s">
        <v>1810</v>
      </c>
      <c r="D588" t="s">
        <v>219</v>
      </c>
      <c r="E588" s="16">
        <v>1342</v>
      </c>
      <c r="F588" s="16" t="s">
        <v>817</v>
      </c>
      <c r="G588" t="s">
        <v>15</v>
      </c>
      <c r="H588" t="s">
        <v>725</v>
      </c>
      <c r="I588" t="s">
        <v>2376</v>
      </c>
    </row>
    <row r="589" spans="1:17" x14ac:dyDescent="0.25">
      <c r="A589">
        <v>1471</v>
      </c>
      <c r="B589" t="s">
        <v>2481</v>
      </c>
      <c r="C589" t="s">
        <v>1810</v>
      </c>
      <c r="D589" t="s">
        <v>219</v>
      </c>
      <c r="E589" s="16">
        <v>1342</v>
      </c>
      <c r="F589" s="16" t="s">
        <v>817</v>
      </c>
      <c r="G589" t="s">
        <v>15</v>
      </c>
      <c r="H589" s="8" t="s">
        <v>398</v>
      </c>
      <c r="I589" t="s">
        <v>2376</v>
      </c>
    </row>
    <row r="590" spans="1:17" x14ac:dyDescent="0.25">
      <c r="A590">
        <v>1471</v>
      </c>
      <c r="B590" t="s">
        <v>2481</v>
      </c>
      <c r="C590" t="s">
        <v>1810</v>
      </c>
      <c r="D590" t="s">
        <v>219</v>
      </c>
      <c r="E590" s="16">
        <v>1342</v>
      </c>
      <c r="F590" s="16" t="s">
        <v>817</v>
      </c>
      <c r="G590" t="s">
        <v>15</v>
      </c>
      <c r="H590" t="s">
        <v>645</v>
      </c>
      <c r="I590" t="s">
        <v>2387</v>
      </c>
    </row>
    <row r="591" spans="1:17" x14ac:dyDescent="0.25">
      <c r="A591">
        <v>1471</v>
      </c>
      <c r="B591" t="s">
        <v>2481</v>
      </c>
      <c r="C591" t="s">
        <v>1810</v>
      </c>
      <c r="D591" t="s">
        <v>219</v>
      </c>
      <c r="E591" s="16">
        <v>1342</v>
      </c>
      <c r="F591" s="16" t="s">
        <v>817</v>
      </c>
      <c r="G591" t="s">
        <v>15</v>
      </c>
      <c r="H591" s="8" t="s">
        <v>398</v>
      </c>
      <c r="I591" t="s">
        <v>2394</v>
      </c>
    </row>
    <row r="592" spans="1:17" x14ac:dyDescent="0.25">
      <c r="A592">
        <v>1471</v>
      </c>
      <c r="B592" t="s">
        <v>2481</v>
      </c>
      <c r="C592" t="s">
        <v>1810</v>
      </c>
      <c r="D592" t="s">
        <v>219</v>
      </c>
      <c r="E592" s="16">
        <v>1342</v>
      </c>
      <c r="F592" s="16" t="s">
        <v>817</v>
      </c>
      <c r="G592" t="s">
        <v>15</v>
      </c>
      <c r="H592" t="s">
        <v>645</v>
      </c>
      <c r="I592" t="s">
        <v>2388</v>
      </c>
      <c r="J592" t="s">
        <v>2386</v>
      </c>
    </row>
    <row r="593" spans="1:9" x14ac:dyDescent="0.25">
      <c r="A593">
        <v>1471</v>
      </c>
      <c r="B593" t="s">
        <v>2481</v>
      </c>
      <c r="C593" t="s">
        <v>1810</v>
      </c>
      <c r="D593" t="s">
        <v>219</v>
      </c>
      <c r="E593" s="16">
        <v>1342</v>
      </c>
      <c r="F593" s="16" t="s">
        <v>817</v>
      </c>
      <c r="G593" t="s">
        <v>15</v>
      </c>
      <c r="H593" s="8" t="s">
        <v>398</v>
      </c>
      <c r="I593" t="s">
        <v>2393</v>
      </c>
    </row>
    <row r="594" spans="1:9" x14ac:dyDescent="0.25">
      <c r="A594">
        <v>1471</v>
      </c>
      <c r="B594" t="s">
        <v>2481</v>
      </c>
      <c r="C594" t="s">
        <v>1810</v>
      </c>
      <c r="D594" t="s">
        <v>219</v>
      </c>
      <c r="E594" s="16">
        <v>1342</v>
      </c>
      <c r="F594" s="16" t="s">
        <v>817</v>
      </c>
      <c r="G594" t="s">
        <v>15</v>
      </c>
      <c r="H594" t="s">
        <v>645</v>
      </c>
      <c r="I594" t="s">
        <v>2319</v>
      </c>
    </row>
    <row r="595" spans="1:9" x14ac:dyDescent="0.25">
      <c r="A595">
        <v>1471</v>
      </c>
      <c r="B595" t="s">
        <v>2481</v>
      </c>
      <c r="C595" t="s">
        <v>1810</v>
      </c>
      <c r="D595" t="s">
        <v>219</v>
      </c>
      <c r="E595" s="16">
        <v>1342</v>
      </c>
      <c r="F595" s="16" t="s">
        <v>817</v>
      </c>
      <c r="G595" t="s">
        <v>15</v>
      </c>
      <c r="H595" t="s">
        <v>645</v>
      </c>
      <c r="I595" t="s">
        <v>2169</v>
      </c>
    </row>
    <row r="596" spans="1:9" x14ac:dyDescent="0.25">
      <c r="A596">
        <v>1471</v>
      </c>
      <c r="B596" t="s">
        <v>2481</v>
      </c>
      <c r="C596" t="s">
        <v>1810</v>
      </c>
      <c r="D596" t="s">
        <v>219</v>
      </c>
      <c r="E596" s="16">
        <v>1342</v>
      </c>
      <c r="F596" s="16" t="s">
        <v>817</v>
      </c>
      <c r="G596" t="s">
        <v>15</v>
      </c>
      <c r="H596" s="8" t="s">
        <v>398</v>
      </c>
      <c r="I596" t="s">
        <v>2169</v>
      </c>
    </row>
    <row r="597" spans="1:9" x14ac:dyDescent="0.25">
      <c r="A597">
        <v>1471</v>
      </c>
      <c r="B597" t="s">
        <v>2481</v>
      </c>
      <c r="C597" t="s">
        <v>1810</v>
      </c>
      <c r="D597" t="s">
        <v>219</v>
      </c>
      <c r="E597" s="16">
        <v>1342</v>
      </c>
      <c r="F597" s="16" t="s">
        <v>817</v>
      </c>
      <c r="G597" t="s">
        <v>15</v>
      </c>
      <c r="H597" s="8" t="s">
        <v>398</v>
      </c>
      <c r="I597" t="s">
        <v>89</v>
      </c>
    </row>
    <row r="598" spans="1:9" x14ac:dyDescent="0.25">
      <c r="A598">
        <v>1471</v>
      </c>
      <c r="B598" t="s">
        <v>2481</v>
      </c>
      <c r="C598" t="s">
        <v>1810</v>
      </c>
      <c r="D598" t="s">
        <v>219</v>
      </c>
      <c r="E598" s="16">
        <v>1342</v>
      </c>
      <c r="F598" s="16" t="s">
        <v>817</v>
      </c>
      <c r="G598" t="s">
        <v>15</v>
      </c>
      <c r="H598" t="s">
        <v>488</v>
      </c>
      <c r="I598" t="s">
        <v>2327</v>
      </c>
    </row>
    <row r="599" spans="1:9" x14ac:dyDescent="0.25">
      <c r="A599">
        <v>1471</v>
      </c>
      <c r="B599" t="s">
        <v>2481</v>
      </c>
      <c r="C599" t="s">
        <v>1810</v>
      </c>
      <c r="D599" t="s">
        <v>219</v>
      </c>
      <c r="E599" s="16">
        <v>1342</v>
      </c>
      <c r="F599" s="16" t="s">
        <v>817</v>
      </c>
      <c r="G599" t="s">
        <v>15</v>
      </c>
      <c r="H599" s="8" t="s">
        <v>398</v>
      </c>
      <c r="I599" t="s">
        <v>2395</v>
      </c>
    </row>
    <row r="600" spans="1:9" x14ac:dyDescent="0.25">
      <c r="A600">
        <v>1471</v>
      </c>
      <c r="B600" t="s">
        <v>2481</v>
      </c>
      <c r="C600" t="s">
        <v>1810</v>
      </c>
      <c r="D600" t="s">
        <v>219</v>
      </c>
      <c r="E600" s="16">
        <v>1342</v>
      </c>
      <c r="F600" s="16" t="s">
        <v>817</v>
      </c>
      <c r="G600" t="s">
        <v>15</v>
      </c>
      <c r="H600" t="s">
        <v>472</v>
      </c>
      <c r="I600" t="s">
        <v>1862</v>
      </c>
    </row>
    <row r="601" spans="1:9" x14ac:dyDescent="0.25">
      <c r="A601">
        <v>1471</v>
      </c>
      <c r="B601" t="s">
        <v>2481</v>
      </c>
      <c r="C601" t="s">
        <v>1810</v>
      </c>
      <c r="D601" t="s">
        <v>219</v>
      </c>
      <c r="E601" s="16">
        <v>1342</v>
      </c>
      <c r="F601" s="16" t="s">
        <v>817</v>
      </c>
      <c r="G601" t="s">
        <v>15</v>
      </c>
      <c r="H601" s="8" t="s">
        <v>417</v>
      </c>
      <c r="I601" t="s">
        <v>2392</v>
      </c>
    </row>
    <row r="602" spans="1:9" x14ac:dyDescent="0.25">
      <c r="A602">
        <v>1471</v>
      </c>
      <c r="B602" t="s">
        <v>2481</v>
      </c>
      <c r="C602" t="s">
        <v>1810</v>
      </c>
      <c r="D602" t="s">
        <v>219</v>
      </c>
      <c r="E602" s="16">
        <v>1342</v>
      </c>
      <c r="F602" s="16" t="s">
        <v>817</v>
      </c>
      <c r="G602" t="s">
        <v>15</v>
      </c>
      <c r="H602" t="s">
        <v>3516</v>
      </c>
      <c r="I602" t="s">
        <v>169</v>
      </c>
    </row>
    <row r="603" spans="1:9" x14ac:dyDescent="0.25">
      <c r="A603">
        <v>1471</v>
      </c>
      <c r="B603" t="s">
        <v>2481</v>
      </c>
      <c r="C603" t="s">
        <v>1810</v>
      </c>
      <c r="D603" t="s">
        <v>219</v>
      </c>
      <c r="E603" s="16">
        <v>1342</v>
      </c>
      <c r="F603" s="16" t="s">
        <v>817</v>
      </c>
      <c r="G603" t="s">
        <v>15</v>
      </c>
      <c r="H603" t="s">
        <v>645</v>
      </c>
      <c r="I603" t="s">
        <v>2380</v>
      </c>
    </row>
    <row r="604" spans="1:9" x14ac:dyDescent="0.25">
      <c r="A604">
        <v>1471</v>
      </c>
      <c r="B604" t="s">
        <v>2481</v>
      </c>
      <c r="C604" t="s">
        <v>1810</v>
      </c>
      <c r="D604" t="s">
        <v>219</v>
      </c>
      <c r="E604" s="16">
        <v>1342</v>
      </c>
      <c r="F604" s="16" t="s">
        <v>817</v>
      </c>
      <c r="G604" t="s">
        <v>15</v>
      </c>
      <c r="H604" s="8" t="s">
        <v>417</v>
      </c>
      <c r="I604" t="s">
        <v>2380</v>
      </c>
    </row>
    <row r="605" spans="1:9" x14ac:dyDescent="0.25">
      <c r="A605">
        <v>1471</v>
      </c>
      <c r="B605" t="s">
        <v>2481</v>
      </c>
      <c r="C605" t="s">
        <v>1810</v>
      </c>
      <c r="D605" t="s">
        <v>219</v>
      </c>
      <c r="E605" s="16">
        <v>1342</v>
      </c>
      <c r="F605" s="16" t="s">
        <v>817</v>
      </c>
      <c r="G605" t="s">
        <v>15</v>
      </c>
      <c r="H605" t="s">
        <v>2390</v>
      </c>
      <c r="I605" t="s">
        <v>2391</v>
      </c>
    </row>
    <row r="606" spans="1:9" x14ac:dyDescent="0.25">
      <c r="A606">
        <v>1471</v>
      </c>
      <c r="B606" t="s">
        <v>2481</v>
      </c>
      <c r="C606" t="s">
        <v>1810</v>
      </c>
      <c r="D606" t="s">
        <v>219</v>
      </c>
      <c r="E606" s="16">
        <v>1342</v>
      </c>
      <c r="F606" s="16" t="s">
        <v>817</v>
      </c>
      <c r="G606" t="s">
        <v>15</v>
      </c>
      <c r="H606" t="s">
        <v>488</v>
      </c>
      <c r="I606" t="s">
        <v>2385</v>
      </c>
    </row>
    <row r="607" spans="1:9" x14ac:dyDescent="0.25">
      <c r="A607">
        <v>1471</v>
      </c>
      <c r="B607" t="s">
        <v>2481</v>
      </c>
      <c r="C607" t="s">
        <v>1810</v>
      </c>
      <c r="D607" t="s">
        <v>219</v>
      </c>
      <c r="E607" s="16">
        <v>1342</v>
      </c>
      <c r="F607" s="16" t="s">
        <v>817</v>
      </c>
      <c r="G607" t="s">
        <v>15</v>
      </c>
      <c r="H607" t="s">
        <v>645</v>
      </c>
      <c r="I607" t="s">
        <v>2026</v>
      </c>
    </row>
    <row r="608" spans="1:9" x14ac:dyDescent="0.25">
      <c r="A608">
        <v>1471</v>
      </c>
      <c r="B608" t="s">
        <v>2481</v>
      </c>
      <c r="C608" t="s">
        <v>1810</v>
      </c>
      <c r="D608" t="s">
        <v>219</v>
      </c>
      <c r="E608" s="16">
        <v>1342</v>
      </c>
      <c r="F608" s="16" t="s">
        <v>817</v>
      </c>
      <c r="G608" t="s">
        <v>15</v>
      </c>
      <c r="H608" t="s">
        <v>725</v>
      </c>
      <c r="I608" t="s">
        <v>2377</v>
      </c>
    </row>
    <row r="609" spans="1:13" x14ac:dyDescent="0.25">
      <c r="A609">
        <v>1471</v>
      </c>
      <c r="B609" t="s">
        <v>2481</v>
      </c>
      <c r="C609" t="s">
        <v>1810</v>
      </c>
      <c r="D609" t="s">
        <v>219</v>
      </c>
      <c r="E609" s="16">
        <v>1342</v>
      </c>
      <c r="F609" s="16" t="s">
        <v>817</v>
      </c>
      <c r="G609" t="s">
        <v>15</v>
      </c>
      <c r="H609" t="s">
        <v>645</v>
      </c>
      <c r="I609" t="s">
        <v>2383</v>
      </c>
    </row>
    <row r="610" spans="1:13" x14ac:dyDescent="0.25">
      <c r="A610">
        <v>1471</v>
      </c>
      <c r="B610" t="s">
        <v>2481</v>
      </c>
      <c r="C610" t="s">
        <v>1810</v>
      </c>
      <c r="D610" t="s">
        <v>219</v>
      </c>
      <c r="E610" s="16">
        <v>1342</v>
      </c>
      <c r="F610" s="16" t="s">
        <v>817</v>
      </c>
      <c r="G610" t="s">
        <v>15</v>
      </c>
      <c r="H610" t="s">
        <v>645</v>
      </c>
      <c r="I610" t="s">
        <v>2382</v>
      </c>
    </row>
    <row r="611" spans="1:13" x14ac:dyDescent="0.25">
      <c r="A611">
        <v>1471</v>
      </c>
      <c r="B611" t="s">
        <v>2481</v>
      </c>
      <c r="C611" t="s">
        <v>1810</v>
      </c>
      <c r="D611" t="s">
        <v>219</v>
      </c>
      <c r="E611" s="16">
        <v>1342</v>
      </c>
      <c r="F611" s="16" t="s">
        <v>817</v>
      </c>
      <c r="G611" t="s">
        <v>15</v>
      </c>
      <c r="H611" t="s">
        <v>725</v>
      </c>
      <c r="I611" t="s">
        <v>2378</v>
      </c>
      <c r="J611" t="s">
        <v>2379</v>
      </c>
    </row>
    <row r="612" spans="1:13" x14ac:dyDescent="0.25">
      <c r="A612">
        <v>1471</v>
      </c>
      <c r="B612" t="s">
        <v>2481</v>
      </c>
      <c r="C612" t="s">
        <v>1810</v>
      </c>
      <c r="D612" t="s">
        <v>219</v>
      </c>
      <c r="E612" s="16">
        <v>1342</v>
      </c>
      <c r="F612" s="16" t="s">
        <v>817</v>
      </c>
      <c r="G612" t="s">
        <v>15</v>
      </c>
      <c r="H612" t="s">
        <v>725</v>
      </c>
      <c r="I612" t="s">
        <v>2375</v>
      </c>
    </row>
    <row r="613" spans="1:13" x14ac:dyDescent="0.25">
      <c r="A613">
        <v>1471</v>
      </c>
      <c r="B613" t="s">
        <v>2481</v>
      </c>
      <c r="C613" t="s">
        <v>1810</v>
      </c>
      <c r="D613" t="s">
        <v>219</v>
      </c>
      <c r="E613" s="16">
        <v>1342</v>
      </c>
      <c r="F613" s="16" t="s">
        <v>817</v>
      </c>
      <c r="G613" t="s">
        <v>15</v>
      </c>
      <c r="H613" t="s">
        <v>645</v>
      </c>
      <c r="I613" t="s">
        <v>2389</v>
      </c>
    </row>
    <row r="614" spans="1:13" x14ac:dyDescent="0.25">
      <c r="A614">
        <v>1471</v>
      </c>
      <c r="B614" t="s">
        <v>2481</v>
      </c>
      <c r="C614" t="s">
        <v>1810</v>
      </c>
      <c r="D614" t="s">
        <v>219</v>
      </c>
      <c r="E614" s="16">
        <v>1342</v>
      </c>
      <c r="F614" s="16" t="s">
        <v>817</v>
      </c>
      <c r="G614" t="s">
        <v>15</v>
      </c>
      <c r="H614" t="s">
        <v>227</v>
      </c>
      <c r="I614" t="s">
        <v>2171</v>
      </c>
    </row>
    <row r="615" spans="1:13" x14ac:dyDescent="0.25">
      <c r="A615">
        <v>1471</v>
      </c>
      <c r="B615" t="s">
        <v>2481</v>
      </c>
      <c r="C615" t="s">
        <v>1810</v>
      </c>
      <c r="D615" t="s">
        <v>219</v>
      </c>
      <c r="E615" s="16">
        <v>1342</v>
      </c>
      <c r="F615" s="16" t="s">
        <v>817</v>
      </c>
      <c r="G615" t="s">
        <v>15</v>
      </c>
      <c r="H615" t="s">
        <v>3875</v>
      </c>
      <c r="I615" t="s">
        <v>2171</v>
      </c>
    </row>
    <row r="616" spans="1:13" x14ac:dyDescent="0.25">
      <c r="A616">
        <v>1471</v>
      </c>
      <c r="B616" t="s">
        <v>2481</v>
      </c>
      <c r="C616" t="s">
        <v>1810</v>
      </c>
      <c r="D616" t="s">
        <v>219</v>
      </c>
      <c r="E616" s="16">
        <v>1342</v>
      </c>
      <c r="F616" s="16" t="s">
        <v>817</v>
      </c>
      <c r="G616" t="s">
        <v>15</v>
      </c>
      <c r="H616" t="s">
        <v>3876</v>
      </c>
      <c r="I616" t="s">
        <v>2171</v>
      </c>
    </row>
    <row r="617" spans="1:13" x14ac:dyDescent="0.25">
      <c r="A617">
        <v>1471</v>
      </c>
      <c r="B617" t="s">
        <v>2481</v>
      </c>
      <c r="C617" t="s">
        <v>1810</v>
      </c>
      <c r="D617" t="s">
        <v>219</v>
      </c>
      <c r="E617" s="16">
        <v>1342</v>
      </c>
      <c r="F617" s="16" t="s">
        <v>817</v>
      </c>
      <c r="G617" t="s">
        <v>15</v>
      </c>
      <c r="H617" t="s">
        <v>2396</v>
      </c>
      <c r="I617" t="s">
        <v>2171</v>
      </c>
    </row>
    <row r="618" spans="1:13" x14ac:dyDescent="0.25">
      <c r="A618">
        <v>1471</v>
      </c>
      <c r="B618" t="s">
        <v>2481</v>
      </c>
      <c r="C618" t="s">
        <v>1810</v>
      </c>
      <c r="D618" t="s">
        <v>219</v>
      </c>
      <c r="E618" s="16">
        <v>1342</v>
      </c>
      <c r="F618" s="16" t="s">
        <v>817</v>
      </c>
      <c r="G618" t="s">
        <v>15</v>
      </c>
      <c r="H618" t="s">
        <v>645</v>
      </c>
      <c r="J618" t="s">
        <v>2384</v>
      </c>
    </row>
    <row r="619" spans="1:13" x14ac:dyDescent="0.25">
      <c r="A619">
        <v>1471</v>
      </c>
      <c r="B619" t="s">
        <v>2481</v>
      </c>
      <c r="C619" t="s">
        <v>1810</v>
      </c>
      <c r="D619" t="s">
        <v>219</v>
      </c>
      <c r="E619" s="16">
        <v>1342</v>
      </c>
      <c r="F619" s="16" t="s">
        <v>817</v>
      </c>
      <c r="G619" t="s">
        <v>15</v>
      </c>
      <c r="H619" t="s">
        <v>645</v>
      </c>
      <c r="J619" t="s">
        <v>2381</v>
      </c>
    </row>
    <row r="620" spans="1:13" x14ac:dyDescent="0.25">
      <c r="A620">
        <v>1471</v>
      </c>
      <c r="B620" t="s">
        <v>2481</v>
      </c>
      <c r="C620" t="s">
        <v>1810</v>
      </c>
      <c r="D620" t="s">
        <v>219</v>
      </c>
      <c r="E620" s="16">
        <v>1342</v>
      </c>
      <c r="F620" s="16" t="s">
        <v>817</v>
      </c>
      <c r="G620" t="s">
        <v>15</v>
      </c>
      <c r="H620" t="s">
        <v>833</v>
      </c>
      <c r="J620" t="s">
        <v>2397</v>
      </c>
      <c r="K620" t="s">
        <v>2337</v>
      </c>
      <c r="L620" t="s">
        <v>2398</v>
      </c>
      <c r="M620" t="s">
        <v>2399</v>
      </c>
    </row>
    <row r="621" spans="1:13" x14ac:dyDescent="0.25">
      <c r="A621">
        <v>1471</v>
      </c>
      <c r="B621" t="s">
        <v>2481</v>
      </c>
      <c r="C621" t="s">
        <v>1810</v>
      </c>
      <c r="D621" t="s">
        <v>219</v>
      </c>
      <c r="E621" s="16">
        <v>1342</v>
      </c>
      <c r="F621" s="16" t="s">
        <v>817</v>
      </c>
      <c r="G621" t="s">
        <v>15</v>
      </c>
      <c r="H621" t="s">
        <v>488</v>
      </c>
      <c r="J621" t="s">
        <v>2386</v>
      </c>
    </row>
    <row r="622" spans="1:13" x14ac:dyDescent="0.25">
      <c r="A622">
        <v>1472</v>
      </c>
      <c r="B622" t="s">
        <v>37</v>
      </c>
      <c r="C622" t="s">
        <v>1810</v>
      </c>
      <c r="D622" t="s">
        <v>220</v>
      </c>
      <c r="E622" s="16">
        <v>1342</v>
      </c>
      <c r="F622" s="16" t="s">
        <v>817</v>
      </c>
      <c r="G622" t="s">
        <v>15</v>
      </c>
      <c r="H622" t="s">
        <v>725</v>
      </c>
      <c r="I622" t="s">
        <v>2376</v>
      </c>
    </row>
    <row r="623" spans="1:13" x14ac:dyDescent="0.25">
      <c r="A623">
        <v>1472</v>
      </c>
      <c r="B623" t="s">
        <v>37</v>
      </c>
      <c r="C623" t="s">
        <v>1810</v>
      </c>
      <c r="D623" t="s">
        <v>220</v>
      </c>
      <c r="E623" s="16">
        <v>1342</v>
      </c>
      <c r="F623" s="16" t="s">
        <v>817</v>
      </c>
      <c r="G623" t="s">
        <v>15</v>
      </c>
      <c r="H623" t="s">
        <v>2406</v>
      </c>
      <c r="I623" t="s">
        <v>2407</v>
      </c>
    </row>
    <row r="624" spans="1:13" x14ac:dyDescent="0.25">
      <c r="A624">
        <v>1472</v>
      </c>
      <c r="B624" t="s">
        <v>37</v>
      </c>
      <c r="C624" t="s">
        <v>1810</v>
      </c>
      <c r="D624" t="s">
        <v>220</v>
      </c>
      <c r="E624" s="16">
        <v>1342</v>
      </c>
      <c r="F624" s="16" t="s">
        <v>817</v>
      </c>
      <c r="G624" t="s">
        <v>15</v>
      </c>
      <c r="H624" t="s">
        <v>645</v>
      </c>
      <c r="I624" t="s">
        <v>2402</v>
      </c>
    </row>
    <row r="625" spans="1:16" x14ac:dyDescent="0.25">
      <c r="A625">
        <v>1472</v>
      </c>
      <c r="B625" t="s">
        <v>37</v>
      </c>
      <c r="C625" t="s">
        <v>1810</v>
      </c>
      <c r="D625" t="s">
        <v>220</v>
      </c>
      <c r="E625" s="16">
        <v>1342</v>
      </c>
      <c r="F625" s="16" t="s">
        <v>817</v>
      </c>
      <c r="G625" t="s">
        <v>15</v>
      </c>
      <c r="H625" s="8" t="s">
        <v>398</v>
      </c>
      <c r="I625" t="s">
        <v>2404</v>
      </c>
    </row>
    <row r="626" spans="1:16" x14ac:dyDescent="0.25">
      <c r="A626">
        <v>1472</v>
      </c>
      <c r="B626" t="s">
        <v>37</v>
      </c>
      <c r="C626" t="s">
        <v>1810</v>
      </c>
      <c r="D626" t="s">
        <v>220</v>
      </c>
      <c r="E626" s="16">
        <v>1342</v>
      </c>
      <c r="F626" s="16" t="s">
        <v>817</v>
      </c>
      <c r="G626" t="s">
        <v>15</v>
      </c>
      <c r="H626" t="s">
        <v>645</v>
      </c>
      <c r="I626" t="s">
        <v>1880</v>
      </c>
    </row>
    <row r="627" spans="1:16" x14ac:dyDescent="0.25">
      <c r="A627">
        <v>1472</v>
      </c>
      <c r="B627" t="s">
        <v>37</v>
      </c>
      <c r="C627" t="s">
        <v>1810</v>
      </c>
      <c r="D627" t="s">
        <v>220</v>
      </c>
      <c r="E627" s="16">
        <v>1342</v>
      </c>
      <c r="F627" s="16" t="s">
        <v>817</v>
      </c>
      <c r="G627" t="s">
        <v>15</v>
      </c>
      <c r="H627" t="s">
        <v>725</v>
      </c>
      <c r="I627" t="s">
        <v>2385</v>
      </c>
    </row>
    <row r="628" spans="1:16" x14ac:dyDescent="0.25">
      <c r="A628">
        <v>1472</v>
      </c>
      <c r="B628" t="s">
        <v>37</v>
      </c>
      <c r="C628" t="s">
        <v>1810</v>
      </c>
      <c r="D628" t="s">
        <v>220</v>
      </c>
      <c r="E628" s="16">
        <v>1342</v>
      </c>
      <c r="F628" s="16" t="s">
        <v>817</v>
      </c>
      <c r="G628" t="s">
        <v>15</v>
      </c>
      <c r="H628" s="8" t="s">
        <v>398</v>
      </c>
      <c r="I628" t="s">
        <v>1021</v>
      </c>
    </row>
    <row r="629" spans="1:16" x14ac:dyDescent="0.25">
      <c r="A629">
        <v>1472</v>
      </c>
      <c r="B629" t="s">
        <v>37</v>
      </c>
      <c r="C629" t="s">
        <v>1810</v>
      </c>
      <c r="D629" t="s">
        <v>220</v>
      </c>
      <c r="E629" s="16">
        <v>1342</v>
      </c>
      <c r="F629" s="16" t="s">
        <v>817</v>
      </c>
      <c r="G629" t="s">
        <v>15</v>
      </c>
      <c r="H629" s="8" t="s">
        <v>417</v>
      </c>
      <c r="I629" t="s">
        <v>2410</v>
      </c>
    </row>
    <row r="630" spans="1:16" x14ac:dyDescent="0.25">
      <c r="A630">
        <v>1472</v>
      </c>
      <c r="B630" t="s">
        <v>37</v>
      </c>
      <c r="C630" t="s">
        <v>1810</v>
      </c>
      <c r="D630" t="s">
        <v>220</v>
      </c>
      <c r="E630" s="16">
        <v>1342</v>
      </c>
      <c r="F630" s="16" t="s">
        <v>817</v>
      </c>
      <c r="G630" t="s">
        <v>15</v>
      </c>
      <c r="H630" t="s">
        <v>645</v>
      </c>
      <c r="I630" t="s">
        <v>1830</v>
      </c>
    </row>
    <row r="631" spans="1:16" x14ac:dyDescent="0.25">
      <c r="A631">
        <v>1472</v>
      </c>
      <c r="B631" t="s">
        <v>37</v>
      </c>
      <c r="C631" t="s">
        <v>1810</v>
      </c>
      <c r="D631" t="s">
        <v>220</v>
      </c>
      <c r="E631" s="16">
        <v>1342</v>
      </c>
      <c r="F631" s="16" t="s">
        <v>817</v>
      </c>
      <c r="G631" t="s">
        <v>15</v>
      </c>
      <c r="H631" t="s">
        <v>3877</v>
      </c>
      <c r="I631" t="s">
        <v>1830</v>
      </c>
    </row>
    <row r="632" spans="1:16" x14ac:dyDescent="0.25">
      <c r="A632">
        <v>1472</v>
      </c>
      <c r="B632" t="s">
        <v>37</v>
      </c>
      <c r="C632" t="s">
        <v>1810</v>
      </c>
      <c r="D632" t="s">
        <v>220</v>
      </c>
      <c r="E632" s="16">
        <v>1342</v>
      </c>
      <c r="F632" s="16" t="s">
        <v>817</v>
      </c>
      <c r="G632" t="s">
        <v>15</v>
      </c>
      <c r="H632" t="s">
        <v>328</v>
      </c>
      <c r="I632" t="s">
        <v>2414</v>
      </c>
    </row>
    <row r="633" spans="1:16" x14ac:dyDescent="0.25">
      <c r="A633">
        <v>1472</v>
      </c>
      <c r="B633" t="s">
        <v>37</v>
      </c>
      <c r="C633" t="s">
        <v>1810</v>
      </c>
      <c r="D633" t="s">
        <v>220</v>
      </c>
      <c r="E633" s="16">
        <v>1342</v>
      </c>
      <c r="F633" s="16" t="s">
        <v>817</v>
      </c>
      <c r="G633" t="s">
        <v>15</v>
      </c>
      <c r="H633" t="s">
        <v>725</v>
      </c>
      <c r="I633" t="s">
        <v>2408</v>
      </c>
    </row>
    <row r="634" spans="1:16" x14ac:dyDescent="0.25">
      <c r="A634">
        <v>1472</v>
      </c>
      <c r="B634" t="s">
        <v>37</v>
      </c>
      <c r="C634" t="s">
        <v>1810</v>
      </c>
      <c r="D634" t="s">
        <v>220</v>
      </c>
      <c r="E634" s="16">
        <v>1342</v>
      </c>
      <c r="F634" s="16" t="s">
        <v>817</v>
      </c>
      <c r="G634" t="s">
        <v>15</v>
      </c>
      <c r="H634" s="8" t="s">
        <v>398</v>
      </c>
      <c r="I634" t="s">
        <v>2411</v>
      </c>
    </row>
    <row r="635" spans="1:16" x14ac:dyDescent="0.25">
      <c r="A635">
        <v>1472</v>
      </c>
      <c r="B635" t="s">
        <v>37</v>
      </c>
      <c r="C635" t="s">
        <v>1810</v>
      </c>
      <c r="D635" t="s">
        <v>220</v>
      </c>
      <c r="E635" s="16">
        <v>1342</v>
      </c>
      <c r="F635" s="16" t="s">
        <v>817</v>
      </c>
      <c r="G635" t="s">
        <v>15</v>
      </c>
      <c r="H635" s="8" t="s">
        <v>417</v>
      </c>
      <c r="I635" t="s">
        <v>2409</v>
      </c>
    </row>
    <row r="636" spans="1:16" x14ac:dyDescent="0.25">
      <c r="A636">
        <v>1472</v>
      </c>
      <c r="B636" t="s">
        <v>37</v>
      </c>
      <c r="C636" t="s">
        <v>1810</v>
      </c>
      <c r="D636" t="s">
        <v>220</v>
      </c>
      <c r="E636" s="16">
        <v>1342</v>
      </c>
      <c r="F636" s="16" t="s">
        <v>817</v>
      </c>
      <c r="G636" t="s">
        <v>15</v>
      </c>
      <c r="H636" t="s">
        <v>389</v>
      </c>
      <c r="J636" t="s">
        <v>2312</v>
      </c>
    </row>
    <row r="637" spans="1:16" x14ac:dyDescent="0.25">
      <c r="A637">
        <v>1472</v>
      </c>
      <c r="B637" t="s">
        <v>37</v>
      </c>
      <c r="C637" t="s">
        <v>1810</v>
      </c>
      <c r="D637" t="s">
        <v>220</v>
      </c>
      <c r="E637" s="16">
        <v>1342</v>
      </c>
      <c r="F637" s="16" t="s">
        <v>817</v>
      </c>
      <c r="G637" t="s">
        <v>15</v>
      </c>
      <c r="H637" t="s">
        <v>645</v>
      </c>
      <c r="J637" t="s">
        <v>2405</v>
      </c>
    </row>
    <row r="638" spans="1:16" x14ac:dyDescent="0.25">
      <c r="A638">
        <v>1482</v>
      </c>
      <c r="B638" t="s">
        <v>35</v>
      </c>
      <c r="C638" t="s">
        <v>1810</v>
      </c>
      <c r="D638" t="s">
        <v>219</v>
      </c>
      <c r="E638" s="16">
        <v>1342</v>
      </c>
      <c r="F638" s="16" t="s">
        <v>817</v>
      </c>
      <c r="G638" t="s">
        <v>15</v>
      </c>
      <c r="H638" s="8" t="s">
        <v>398</v>
      </c>
      <c r="I638" t="s">
        <v>2460</v>
      </c>
      <c r="K638" t="s">
        <v>2461</v>
      </c>
    </row>
    <row r="639" spans="1:16" x14ac:dyDescent="0.25">
      <c r="A639">
        <v>1482</v>
      </c>
      <c r="B639" t="s">
        <v>35</v>
      </c>
      <c r="C639" t="s">
        <v>1810</v>
      </c>
      <c r="D639" t="s">
        <v>219</v>
      </c>
      <c r="E639" s="16">
        <v>1342</v>
      </c>
      <c r="F639" s="16" t="s">
        <v>817</v>
      </c>
      <c r="G639" t="s">
        <v>15</v>
      </c>
      <c r="H639" t="s">
        <v>645</v>
      </c>
      <c r="I639" t="s">
        <v>2428</v>
      </c>
      <c r="K639" t="s">
        <v>2429</v>
      </c>
      <c r="L639" t="s">
        <v>2430</v>
      </c>
    </row>
    <row r="640" spans="1:16" x14ac:dyDescent="0.25">
      <c r="A640">
        <v>1482</v>
      </c>
      <c r="B640" t="s">
        <v>35</v>
      </c>
      <c r="C640" t="s">
        <v>1810</v>
      </c>
      <c r="D640" t="s">
        <v>219</v>
      </c>
      <c r="E640" s="16">
        <v>1342</v>
      </c>
      <c r="F640" s="16" t="s">
        <v>817</v>
      </c>
      <c r="G640" t="s">
        <v>15</v>
      </c>
      <c r="H640" t="s">
        <v>292</v>
      </c>
      <c r="I640" t="s">
        <v>2466</v>
      </c>
      <c r="P640" t="s">
        <v>2469</v>
      </c>
    </row>
    <row r="641" spans="1:17" x14ac:dyDescent="0.25">
      <c r="A641">
        <v>1482</v>
      </c>
      <c r="B641" t="s">
        <v>35</v>
      </c>
      <c r="C641" t="s">
        <v>1810</v>
      </c>
      <c r="D641" t="s">
        <v>219</v>
      </c>
      <c r="E641" s="16">
        <v>1342</v>
      </c>
      <c r="F641" s="16" t="s">
        <v>817</v>
      </c>
      <c r="G641" t="s">
        <v>15</v>
      </c>
      <c r="H641" s="8" t="s">
        <v>398</v>
      </c>
      <c r="I641" t="s">
        <v>2449</v>
      </c>
      <c r="K641" t="s">
        <v>2450</v>
      </c>
      <c r="L641" t="s">
        <v>2451</v>
      </c>
    </row>
    <row r="642" spans="1:17" x14ac:dyDescent="0.25">
      <c r="A642">
        <v>1482</v>
      </c>
      <c r="B642" t="s">
        <v>35</v>
      </c>
      <c r="C642" t="s">
        <v>1810</v>
      </c>
      <c r="D642" t="s">
        <v>219</v>
      </c>
      <c r="E642" s="16">
        <v>1342</v>
      </c>
      <c r="F642" s="16" t="s">
        <v>817</v>
      </c>
      <c r="G642" t="s">
        <v>15</v>
      </c>
      <c r="H642" s="8" t="s">
        <v>417</v>
      </c>
      <c r="I642" t="s">
        <v>2426</v>
      </c>
      <c r="K642" t="s">
        <v>2427</v>
      </c>
    </row>
    <row r="643" spans="1:17" x14ac:dyDescent="0.25">
      <c r="A643">
        <v>1482</v>
      </c>
      <c r="B643" t="s">
        <v>35</v>
      </c>
      <c r="C643" t="s">
        <v>1810</v>
      </c>
      <c r="D643" t="s">
        <v>219</v>
      </c>
      <c r="E643" s="16">
        <v>1342</v>
      </c>
      <c r="F643" s="16" t="s">
        <v>817</v>
      </c>
      <c r="G643" t="s">
        <v>15</v>
      </c>
      <c r="H643" t="s">
        <v>2467</v>
      </c>
      <c r="I643" t="s">
        <v>1633</v>
      </c>
      <c r="P643" t="s">
        <v>2469</v>
      </c>
    </row>
    <row r="644" spans="1:17" x14ac:dyDescent="0.25">
      <c r="A644">
        <v>1482</v>
      </c>
      <c r="B644" t="s">
        <v>35</v>
      </c>
      <c r="C644" t="s">
        <v>1810</v>
      </c>
      <c r="D644" t="s">
        <v>219</v>
      </c>
      <c r="E644" s="16">
        <v>1342</v>
      </c>
      <c r="F644" s="16" t="s">
        <v>817</v>
      </c>
      <c r="G644" t="s">
        <v>15</v>
      </c>
      <c r="H644" t="s">
        <v>2467</v>
      </c>
      <c r="I644" t="s">
        <v>1633</v>
      </c>
      <c r="P644" t="s">
        <v>2469</v>
      </c>
    </row>
    <row r="645" spans="1:17" x14ac:dyDescent="0.25">
      <c r="A645">
        <v>1482</v>
      </c>
      <c r="B645" t="s">
        <v>35</v>
      </c>
      <c r="C645" t="s">
        <v>1810</v>
      </c>
      <c r="D645" t="s">
        <v>219</v>
      </c>
      <c r="E645" s="16">
        <v>1342</v>
      </c>
      <c r="F645" s="16" t="s">
        <v>817</v>
      </c>
      <c r="G645" t="s">
        <v>15</v>
      </c>
      <c r="H645" t="s">
        <v>645</v>
      </c>
      <c r="I645" t="s">
        <v>2431</v>
      </c>
      <c r="K645" t="s">
        <v>2432</v>
      </c>
      <c r="L645" t="s">
        <v>2433</v>
      </c>
    </row>
    <row r="646" spans="1:17" x14ac:dyDescent="0.25">
      <c r="A646">
        <v>1482</v>
      </c>
      <c r="B646" t="s">
        <v>35</v>
      </c>
      <c r="C646" t="s">
        <v>1810</v>
      </c>
      <c r="D646" t="s">
        <v>219</v>
      </c>
      <c r="E646" s="16">
        <v>1342</v>
      </c>
      <c r="F646" s="16" t="s">
        <v>817</v>
      </c>
      <c r="G646" t="s">
        <v>15</v>
      </c>
      <c r="H646" t="s">
        <v>645</v>
      </c>
      <c r="I646" t="s">
        <v>2423</v>
      </c>
      <c r="K646" t="s">
        <v>2424</v>
      </c>
      <c r="L646" t="s">
        <v>2425</v>
      </c>
    </row>
    <row r="647" spans="1:17" x14ac:dyDescent="0.25">
      <c r="A647">
        <v>1482</v>
      </c>
      <c r="B647" t="s">
        <v>35</v>
      </c>
      <c r="C647" t="s">
        <v>1810</v>
      </c>
      <c r="D647" t="s">
        <v>219</v>
      </c>
      <c r="E647" s="16">
        <v>1342</v>
      </c>
      <c r="F647" s="16" t="s">
        <v>817</v>
      </c>
      <c r="G647" t="s">
        <v>15</v>
      </c>
      <c r="H647" s="8" t="s">
        <v>398</v>
      </c>
      <c r="I647" t="s">
        <v>2462</v>
      </c>
    </row>
    <row r="648" spans="1:17" x14ac:dyDescent="0.25">
      <c r="A648">
        <v>1482</v>
      </c>
      <c r="B648" t="s">
        <v>35</v>
      </c>
      <c r="C648" t="s">
        <v>1810</v>
      </c>
      <c r="D648" t="s">
        <v>219</v>
      </c>
      <c r="E648" s="16">
        <v>1342</v>
      </c>
      <c r="F648" s="16" t="s">
        <v>817</v>
      </c>
      <c r="G648" t="s">
        <v>15</v>
      </c>
      <c r="H648" t="s">
        <v>1816</v>
      </c>
      <c r="I648" t="s">
        <v>2434</v>
      </c>
      <c r="K648" t="s">
        <v>2435</v>
      </c>
      <c r="L648" t="s">
        <v>2436</v>
      </c>
    </row>
    <row r="649" spans="1:17" x14ac:dyDescent="0.25">
      <c r="A649">
        <v>1482</v>
      </c>
      <c r="B649" t="s">
        <v>35</v>
      </c>
      <c r="C649" t="s">
        <v>1810</v>
      </c>
      <c r="D649" t="s">
        <v>219</v>
      </c>
      <c r="E649" s="16">
        <v>1342</v>
      </c>
      <c r="F649" s="16" t="s">
        <v>817</v>
      </c>
      <c r="G649" t="s">
        <v>15</v>
      </c>
      <c r="H649" t="s">
        <v>2468</v>
      </c>
      <c r="I649" t="s">
        <v>2315</v>
      </c>
      <c r="P649" t="s">
        <v>2469</v>
      </c>
    </row>
    <row r="650" spans="1:17" x14ac:dyDescent="0.25">
      <c r="A650">
        <v>1482</v>
      </c>
      <c r="B650" t="s">
        <v>35</v>
      </c>
      <c r="C650" t="s">
        <v>1810</v>
      </c>
      <c r="D650" t="s">
        <v>219</v>
      </c>
      <c r="E650" s="16">
        <v>1342</v>
      </c>
      <c r="F650" s="16" t="s">
        <v>817</v>
      </c>
      <c r="G650" t="s">
        <v>15</v>
      </c>
      <c r="H650" t="s">
        <v>2468</v>
      </c>
      <c r="I650" t="s">
        <v>2315</v>
      </c>
      <c r="P650" t="s">
        <v>2469</v>
      </c>
    </row>
    <row r="651" spans="1:17" x14ac:dyDescent="0.25">
      <c r="A651">
        <v>1482</v>
      </c>
      <c r="B651" t="s">
        <v>35</v>
      </c>
      <c r="C651" t="s">
        <v>1810</v>
      </c>
      <c r="D651" t="s">
        <v>219</v>
      </c>
      <c r="E651" s="16">
        <v>1342</v>
      </c>
      <c r="F651" s="16" t="s">
        <v>817</v>
      </c>
      <c r="G651" t="s">
        <v>15</v>
      </c>
      <c r="H651" s="8" t="s">
        <v>398</v>
      </c>
      <c r="I651" t="s">
        <v>2454</v>
      </c>
      <c r="K651" t="s">
        <v>2455</v>
      </c>
    </row>
    <row r="652" spans="1:17" x14ac:dyDescent="0.25">
      <c r="A652">
        <v>1482</v>
      </c>
      <c r="B652" t="s">
        <v>35</v>
      </c>
      <c r="C652" t="s">
        <v>1810</v>
      </c>
      <c r="D652" t="s">
        <v>219</v>
      </c>
      <c r="E652" s="16">
        <v>1342</v>
      </c>
      <c r="F652" s="16" t="s">
        <v>817</v>
      </c>
      <c r="G652" t="s">
        <v>15</v>
      </c>
      <c r="H652" t="s">
        <v>3877</v>
      </c>
      <c r="I652" t="s">
        <v>2329</v>
      </c>
      <c r="P652" t="s">
        <v>2469</v>
      </c>
    </row>
    <row r="653" spans="1:17" x14ac:dyDescent="0.25">
      <c r="A653">
        <v>1482</v>
      </c>
      <c r="B653" t="s">
        <v>35</v>
      </c>
      <c r="C653" t="s">
        <v>1810</v>
      </c>
      <c r="D653" t="s">
        <v>219</v>
      </c>
      <c r="E653" s="16">
        <v>1342</v>
      </c>
      <c r="F653" s="16" t="s">
        <v>817</v>
      </c>
      <c r="G653" t="s">
        <v>15</v>
      </c>
      <c r="H653" t="s">
        <v>3877</v>
      </c>
      <c r="I653" t="s">
        <v>2329</v>
      </c>
      <c r="P653" t="s">
        <v>2469</v>
      </c>
    </row>
    <row r="654" spans="1:17" x14ac:dyDescent="0.25">
      <c r="A654">
        <v>1482</v>
      </c>
      <c r="B654" t="s">
        <v>35</v>
      </c>
      <c r="C654" t="s">
        <v>1810</v>
      </c>
      <c r="D654" t="s">
        <v>219</v>
      </c>
      <c r="E654" s="16">
        <v>1342</v>
      </c>
      <c r="F654" s="16" t="s">
        <v>817</v>
      </c>
      <c r="G654" t="s">
        <v>15</v>
      </c>
      <c r="H654" t="s">
        <v>398</v>
      </c>
      <c r="I654" t="s">
        <v>2463</v>
      </c>
    </row>
    <row r="655" spans="1:17" x14ac:dyDescent="0.25">
      <c r="A655">
        <v>1482</v>
      </c>
      <c r="B655" t="s">
        <v>35</v>
      </c>
      <c r="C655" t="s">
        <v>1810</v>
      </c>
      <c r="D655" t="s">
        <v>219</v>
      </c>
      <c r="E655" s="16">
        <v>1342</v>
      </c>
      <c r="F655" s="16" t="s">
        <v>817</v>
      </c>
      <c r="G655" t="s">
        <v>15</v>
      </c>
      <c r="H655" t="s">
        <v>472</v>
      </c>
      <c r="I655" t="s">
        <v>2440</v>
      </c>
      <c r="K655" t="s">
        <v>2442</v>
      </c>
      <c r="L655" t="s">
        <v>2443</v>
      </c>
      <c r="Q655" t="s">
        <v>2441</v>
      </c>
    </row>
    <row r="656" spans="1:17" x14ac:dyDescent="0.25">
      <c r="A656">
        <v>1482</v>
      </c>
      <c r="B656" t="s">
        <v>35</v>
      </c>
      <c r="C656" t="s">
        <v>1810</v>
      </c>
      <c r="D656" t="s">
        <v>219</v>
      </c>
      <c r="E656" s="16">
        <v>1342</v>
      </c>
      <c r="F656" s="16" t="s">
        <v>817</v>
      </c>
      <c r="G656" t="s">
        <v>15</v>
      </c>
      <c r="H656" s="8" t="s">
        <v>398</v>
      </c>
      <c r="I656" t="s">
        <v>2452</v>
      </c>
      <c r="K656" t="s">
        <v>2453</v>
      </c>
    </row>
    <row r="657" spans="1:16" x14ac:dyDescent="0.25">
      <c r="A657">
        <v>1482</v>
      </c>
      <c r="B657" t="s">
        <v>35</v>
      </c>
      <c r="C657" t="s">
        <v>1810</v>
      </c>
      <c r="D657" t="s">
        <v>219</v>
      </c>
      <c r="E657" s="16">
        <v>1342</v>
      </c>
      <c r="F657" s="16" t="s">
        <v>817</v>
      </c>
      <c r="G657" t="s">
        <v>15</v>
      </c>
      <c r="H657" t="s">
        <v>2396</v>
      </c>
      <c r="I657" t="s">
        <v>2471</v>
      </c>
    </row>
    <row r="658" spans="1:16" x14ac:dyDescent="0.25">
      <c r="A658">
        <v>1482</v>
      </c>
      <c r="B658" t="s">
        <v>35</v>
      </c>
      <c r="C658" t="s">
        <v>1810</v>
      </c>
      <c r="D658" t="s">
        <v>219</v>
      </c>
      <c r="E658" s="16">
        <v>1342</v>
      </c>
      <c r="F658" s="16" t="s">
        <v>817</v>
      </c>
      <c r="G658" t="s">
        <v>15</v>
      </c>
      <c r="H658" t="s">
        <v>3877</v>
      </c>
      <c r="I658" t="s">
        <v>2464</v>
      </c>
      <c r="P658" t="s">
        <v>2469</v>
      </c>
    </row>
    <row r="659" spans="1:16" x14ac:dyDescent="0.25">
      <c r="A659">
        <v>1482</v>
      </c>
      <c r="B659" t="s">
        <v>35</v>
      </c>
      <c r="C659" t="s">
        <v>1810</v>
      </c>
      <c r="D659" t="s">
        <v>219</v>
      </c>
      <c r="E659" s="16">
        <v>1342</v>
      </c>
      <c r="F659" s="16" t="s">
        <v>817</v>
      </c>
      <c r="G659" t="s">
        <v>15</v>
      </c>
      <c r="H659" t="s">
        <v>3877</v>
      </c>
      <c r="I659" t="s">
        <v>2464</v>
      </c>
      <c r="P659" t="s">
        <v>2469</v>
      </c>
    </row>
    <row r="660" spans="1:16" x14ac:dyDescent="0.25">
      <c r="A660">
        <v>1482</v>
      </c>
      <c r="B660" t="s">
        <v>35</v>
      </c>
      <c r="C660" t="s">
        <v>1810</v>
      </c>
      <c r="D660" t="s">
        <v>219</v>
      </c>
      <c r="E660" s="16">
        <v>1342</v>
      </c>
      <c r="F660" s="16" t="s">
        <v>817</v>
      </c>
      <c r="G660" t="s">
        <v>15</v>
      </c>
      <c r="H660" t="s">
        <v>3877</v>
      </c>
      <c r="I660" t="s">
        <v>2465</v>
      </c>
      <c r="P660" t="s">
        <v>2469</v>
      </c>
    </row>
    <row r="661" spans="1:16" x14ac:dyDescent="0.25">
      <c r="A661">
        <v>1482</v>
      </c>
      <c r="B661" t="s">
        <v>35</v>
      </c>
      <c r="C661" t="s">
        <v>1810</v>
      </c>
      <c r="D661" t="s">
        <v>219</v>
      </c>
      <c r="E661" s="16">
        <v>1342</v>
      </c>
      <c r="F661" s="16" t="s">
        <v>817</v>
      </c>
      <c r="G661" t="s">
        <v>15</v>
      </c>
      <c r="H661" t="s">
        <v>3877</v>
      </c>
      <c r="I661" t="s">
        <v>2465</v>
      </c>
      <c r="P661" t="s">
        <v>2469</v>
      </c>
    </row>
    <row r="662" spans="1:16" x14ac:dyDescent="0.25">
      <c r="A662">
        <v>1482</v>
      </c>
      <c r="B662" t="s">
        <v>35</v>
      </c>
      <c r="C662" t="s">
        <v>1810</v>
      </c>
      <c r="D662" t="s">
        <v>219</v>
      </c>
      <c r="E662" s="16">
        <v>1342</v>
      </c>
      <c r="F662" s="16" t="s">
        <v>817</v>
      </c>
      <c r="G662" t="s">
        <v>15</v>
      </c>
      <c r="H662" s="8" t="s">
        <v>398</v>
      </c>
      <c r="I662" t="s">
        <v>2456</v>
      </c>
      <c r="K662" t="s">
        <v>2457</v>
      </c>
    </row>
    <row r="663" spans="1:16" x14ac:dyDescent="0.25">
      <c r="A663">
        <v>1482</v>
      </c>
      <c r="B663" t="s">
        <v>35</v>
      </c>
      <c r="C663" t="s">
        <v>1810</v>
      </c>
      <c r="D663" t="s">
        <v>219</v>
      </c>
      <c r="E663" s="16">
        <v>1342</v>
      </c>
      <c r="F663" s="16" t="s">
        <v>817</v>
      </c>
      <c r="G663" t="s">
        <v>15</v>
      </c>
      <c r="H663" s="8" t="s">
        <v>398</v>
      </c>
      <c r="I663" t="s">
        <v>2447</v>
      </c>
      <c r="K663" t="s">
        <v>2448</v>
      </c>
    </row>
    <row r="664" spans="1:16" x14ac:dyDescent="0.25">
      <c r="A664">
        <v>1482</v>
      </c>
      <c r="B664" t="s">
        <v>35</v>
      </c>
      <c r="C664" t="s">
        <v>1810</v>
      </c>
      <c r="D664" t="s">
        <v>219</v>
      </c>
      <c r="E664" s="16">
        <v>1342</v>
      </c>
      <c r="F664" s="16" t="s">
        <v>817</v>
      </c>
      <c r="G664" t="s">
        <v>15</v>
      </c>
      <c r="H664" t="s">
        <v>472</v>
      </c>
      <c r="I664" t="s">
        <v>2437</v>
      </c>
      <c r="K664" t="s">
        <v>2438</v>
      </c>
      <c r="L664" t="s">
        <v>2439</v>
      </c>
    </row>
    <row r="665" spans="1:16" x14ac:dyDescent="0.25">
      <c r="A665">
        <v>1482</v>
      </c>
      <c r="B665" t="s">
        <v>35</v>
      </c>
      <c r="C665" t="s">
        <v>1810</v>
      </c>
      <c r="D665" t="s">
        <v>219</v>
      </c>
      <c r="E665" s="16">
        <v>1342</v>
      </c>
      <c r="F665" s="16" t="s">
        <v>817</v>
      </c>
      <c r="G665" t="s">
        <v>15</v>
      </c>
      <c r="H665" s="8" t="s">
        <v>398</v>
      </c>
      <c r="I665" t="s">
        <v>2458</v>
      </c>
      <c r="K665" t="s">
        <v>2459</v>
      </c>
    </row>
    <row r="666" spans="1:16" x14ac:dyDescent="0.25">
      <c r="A666">
        <v>1482</v>
      </c>
      <c r="B666" t="s">
        <v>35</v>
      </c>
      <c r="C666" t="s">
        <v>1810</v>
      </c>
      <c r="D666" t="s">
        <v>219</v>
      </c>
      <c r="E666" s="16">
        <v>1342</v>
      </c>
      <c r="F666" s="16" t="s">
        <v>817</v>
      </c>
      <c r="G666" t="s">
        <v>15</v>
      </c>
      <c r="H666" t="s">
        <v>2478</v>
      </c>
      <c r="I666" t="s">
        <v>2479</v>
      </c>
    </row>
    <row r="667" spans="1:16" x14ac:dyDescent="0.25">
      <c r="A667">
        <v>1482</v>
      </c>
      <c r="B667" t="s">
        <v>35</v>
      </c>
      <c r="C667" t="s">
        <v>1810</v>
      </c>
      <c r="D667" t="s">
        <v>219</v>
      </c>
      <c r="E667" s="16">
        <v>1342</v>
      </c>
      <c r="F667" s="16" t="s">
        <v>817</v>
      </c>
      <c r="G667" t="s">
        <v>15</v>
      </c>
      <c r="H667" t="s">
        <v>472</v>
      </c>
      <c r="J667" t="s">
        <v>2444</v>
      </c>
      <c r="K667" t="s">
        <v>2445</v>
      </c>
      <c r="L667" t="s">
        <v>2446</v>
      </c>
    </row>
    <row r="668" spans="1:16" x14ac:dyDescent="0.25">
      <c r="A668">
        <v>1482</v>
      </c>
      <c r="B668" t="s">
        <v>35</v>
      </c>
      <c r="C668" t="s">
        <v>1810</v>
      </c>
      <c r="D668" t="s">
        <v>219</v>
      </c>
      <c r="E668" s="16">
        <v>1342</v>
      </c>
      <c r="F668" s="16" t="s">
        <v>817</v>
      </c>
      <c r="G668" t="s">
        <v>15</v>
      </c>
      <c r="H668" t="s">
        <v>540</v>
      </c>
      <c r="J668" t="s">
        <v>2421</v>
      </c>
      <c r="K668" t="s">
        <v>2422</v>
      </c>
    </row>
    <row r="669" spans="1:16" x14ac:dyDescent="0.25">
      <c r="A669">
        <v>1482</v>
      </c>
      <c r="B669" t="s">
        <v>35</v>
      </c>
      <c r="C669" t="s">
        <v>1810</v>
      </c>
      <c r="D669" t="s">
        <v>219</v>
      </c>
      <c r="E669" s="16">
        <v>1342</v>
      </c>
      <c r="F669" s="16" t="s">
        <v>817</v>
      </c>
      <c r="G669" t="s">
        <v>15</v>
      </c>
      <c r="H669" s="8" t="s">
        <v>417</v>
      </c>
      <c r="J669" t="s">
        <v>2470</v>
      </c>
    </row>
    <row r="670" spans="1:16" x14ac:dyDescent="0.25">
      <c r="A670">
        <v>1482</v>
      </c>
      <c r="B670" t="s">
        <v>35</v>
      </c>
      <c r="C670" t="s">
        <v>1810</v>
      </c>
      <c r="D670" t="s">
        <v>219</v>
      </c>
      <c r="E670" s="16">
        <v>1342</v>
      </c>
      <c r="F670" s="16" t="s">
        <v>817</v>
      </c>
      <c r="G670" t="s">
        <v>15</v>
      </c>
      <c r="H670" t="s">
        <v>2473</v>
      </c>
      <c r="J670" t="s">
        <v>2474</v>
      </c>
    </row>
    <row r="671" spans="1:16" x14ac:dyDescent="0.25">
      <c r="A671">
        <v>1482</v>
      </c>
      <c r="B671" t="s">
        <v>35</v>
      </c>
      <c r="C671" t="s">
        <v>1810</v>
      </c>
      <c r="D671" t="s">
        <v>219</v>
      </c>
      <c r="E671" s="16">
        <v>1342</v>
      </c>
      <c r="F671" s="16" t="s">
        <v>817</v>
      </c>
      <c r="G671" t="s">
        <v>15</v>
      </c>
      <c r="H671" t="s">
        <v>2473</v>
      </c>
      <c r="J671" t="s">
        <v>2474</v>
      </c>
    </row>
    <row r="672" spans="1:16" x14ac:dyDescent="0.25">
      <c r="A672">
        <v>1482</v>
      </c>
      <c r="B672" t="s">
        <v>35</v>
      </c>
      <c r="C672" t="s">
        <v>1810</v>
      </c>
      <c r="D672" t="s">
        <v>219</v>
      </c>
      <c r="E672" s="16">
        <v>1342</v>
      </c>
      <c r="F672" s="16" t="s">
        <v>817</v>
      </c>
      <c r="G672" t="s">
        <v>15</v>
      </c>
      <c r="H672" t="s">
        <v>833</v>
      </c>
      <c r="J672" t="s">
        <v>1840</v>
      </c>
      <c r="K672" t="s">
        <v>2337</v>
      </c>
      <c r="L672" t="s">
        <v>2472</v>
      </c>
    </row>
    <row r="673" spans="1:17" x14ac:dyDescent="0.25">
      <c r="A673">
        <v>1482</v>
      </c>
      <c r="B673" t="s">
        <v>35</v>
      </c>
      <c r="C673" t="s">
        <v>1810</v>
      </c>
      <c r="D673" t="s">
        <v>219</v>
      </c>
      <c r="E673" s="16">
        <v>1342</v>
      </c>
      <c r="F673" s="16" t="s">
        <v>817</v>
      </c>
      <c r="G673" t="s">
        <v>15</v>
      </c>
      <c r="H673" t="s">
        <v>469</v>
      </c>
      <c r="K673" t="s">
        <v>2422</v>
      </c>
    </row>
    <row r="674" spans="1:17" x14ac:dyDescent="0.25">
      <c r="A674">
        <v>1482</v>
      </c>
      <c r="B674" t="s">
        <v>35</v>
      </c>
      <c r="C674" t="s">
        <v>1810</v>
      </c>
      <c r="D674" t="s">
        <v>219</v>
      </c>
      <c r="E674" s="16">
        <v>1342</v>
      </c>
      <c r="F674" s="16" t="s">
        <v>817</v>
      </c>
      <c r="G674" t="s">
        <v>15</v>
      </c>
      <c r="H674" t="s">
        <v>1816</v>
      </c>
      <c r="K674" t="s">
        <v>2422</v>
      </c>
    </row>
    <row r="675" spans="1:17" x14ac:dyDescent="0.25">
      <c r="A675">
        <v>1491</v>
      </c>
      <c r="B675" t="s">
        <v>2483</v>
      </c>
      <c r="C675" t="s">
        <v>2504</v>
      </c>
      <c r="D675" t="s">
        <v>219</v>
      </c>
      <c r="E675" s="16">
        <v>1342</v>
      </c>
      <c r="F675" s="16" t="s">
        <v>817</v>
      </c>
      <c r="G675" t="s">
        <v>15</v>
      </c>
      <c r="H675" t="s">
        <v>472</v>
      </c>
      <c r="I675" t="s">
        <v>2487</v>
      </c>
      <c r="K675" t="s">
        <v>3936</v>
      </c>
      <c r="L675" t="s">
        <v>2491</v>
      </c>
    </row>
    <row r="676" spans="1:17" x14ac:dyDescent="0.25">
      <c r="A676">
        <v>1491</v>
      </c>
      <c r="B676" t="s">
        <v>2483</v>
      </c>
      <c r="C676" t="s">
        <v>2504</v>
      </c>
      <c r="D676" t="s">
        <v>219</v>
      </c>
      <c r="E676" s="16">
        <v>1342</v>
      </c>
      <c r="F676" s="16" t="s">
        <v>817</v>
      </c>
      <c r="G676" t="s">
        <v>15</v>
      </c>
      <c r="H676" t="s">
        <v>725</v>
      </c>
      <c r="I676" t="s">
        <v>2485</v>
      </c>
      <c r="J676" t="s">
        <v>2486</v>
      </c>
      <c r="K676" t="s">
        <v>2489</v>
      </c>
      <c r="L676" t="s">
        <v>2490</v>
      </c>
    </row>
    <row r="677" spans="1:17" x14ac:dyDescent="0.25">
      <c r="A677">
        <v>1491</v>
      </c>
      <c r="B677" t="s">
        <v>2483</v>
      </c>
      <c r="C677" t="s">
        <v>2504</v>
      </c>
      <c r="D677" t="s">
        <v>219</v>
      </c>
      <c r="E677" s="16">
        <v>1342</v>
      </c>
      <c r="F677" s="16" t="s">
        <v>817</v>
      </c>
      <c r="G677" t="s">
        <v>15</v>
      </c>
      <c r="H677" t="s">
        <v>679</v>
      </c>
      <c r="I677" t="s">
        <v>2497</v>
      </c>
      <c r="K677" t="s">
        <v>2499</v>
      </c>
      <c r="L677" t="s">
        <v>2498</v>
      </c>
    </row>
    <row r="678" spans="1:17" x14ac:dyDescent="0.25">
      <c r="A678">
        <v>1491</v>
      </c>
      <c r="B678" t="s">
        <v>2483</v>
      </c>
      <c r="C678" t="s">
        <v>2504</v>
      </c>
      <c r="D678" t="s">
        <v>219</v>
      </c>
      <c r="E678" s="16">
        <v>1342</v>
      </c>
      <c r="F678" s="16" t="s">
        <v>817</v>
      </c>
      <c r="G678" t="s">
        <v>15</v>
      </c>
      <c r="H678" t="s">
        <v>472</v>
      </c>
      <c r="I678" t="s">
        <v>2488</v>
      </c>
      <c r="K678" t="s">
        <v>2492</v>
      </c>
      <c r="L678" t="s">
        <v>629</v>
      </c>
    </row>
    <row r="679" spans="1:17" x14ac:dyDescent="0.25">
      <c r="A679">
        <v>1491</v>
      </c>
      <c r="B679" t="s">
        <v>2483</v>
      </c>
      <c r="C679" t="s">
        <v>2504</v>
      </c>
      <c r="D679" t="s">
        <v>219</v>
      </c>
      <c r="E679" s="16">
        <v>1342</v>
      </c>
      <c r="F679" s="16" t="s">
        <v>817</v>
      </c>
      <c r="G679" t="s">
        <v>15</v>
      </c>
      <c r="H679" s="8" t="s">
        <v>398</v>
      </c>
      <c r="I679" t="s">
        <v>2493</v>
      </c>
      <c r="K679" t="s">
        <v>2494</v>
      </c>
    </row>
    <row r="680" spans="1:17" x14ac:dyDescent="0.25">
      <c r="A680">
        <v>1491</v>
      </c>
      <c r="B680" t="s">
        <v>2483</v>
      </c>
      <c r="C680" t="s">
        <v>2504</v>
      </c>
      <c r="D680" t="s">
        <v>219</v>
      </c>
      <c r="E680" s="16">
        <v>1342</v>
      </c>
      <c r="F680" s="16" t="s">
        <v>817</v>
      </c>
      <c r="G680" t="s">
        <v>15</v>
      </c>
      <c r="H680" s="8" t="s">
        <v>398</v>
      </c>
      <c r="J680" t="s">
        <v>2495</v>
      </c>
      <c r="K680" t="s">
        <v>2496</v>
      </c>
      <c r="L680" t="s">
        <v>2490</v>
      </c>
    </row>
    <row r="681" spans="1:17" x14ac:dyDescent="0.25">
      <c r="A681">
        <v>1492</v>
      </c>
      <c r="B681" t="s">
        <v>13</v>
      </c>
      <c r="C681" t="s">
        <v>2543</v>
      </c>
      <c r="D681" t="s">
        <v>219</v>
      </c>
      <c r="E681" s="16">
        <v>1342</v>
      </c>
      <c r="F681" s="16" t="s">
        <v>817</v>
      </c>
      <c r="G681" t="s">
        <v>15</v>
      </c>
      <c r="H681" t="s">
        <v>3245</v>
      </c>
      <c r="I681" t="s">
        <v>2509</v>
      </c>
    </row>
    <row r="682" spans="1:17" x14ac:dyDescent="0.25">
      <c r="A682">
        <v>1492</v>
      </c>
      <c r="B682" t="s">
        <v>13</v>
      </c>
      <c r="C682" t="s">
        <v>2543</v>
      </c>
      <c r="D682" t="s">
        <v>219</v>
      </c>
      <c r="E682" s="16">
        <v>1342</v>
      </c>
      <c r="F682" s="16" t="s">
        <v>817</v>
      </c>
      <c r="G682" t="s">
        <v>15</v>
      </c>
      <c r="H682" t="s">
        <v>1683</v>
      </c>
      <c r="J682" t="s">
        <v>2505</v>
      </c>
      <c r="K682" t="s">
        <v>2507</v>
      </c>
      <c r="L682" t="s">
        <v>2508</v>
      </c>
      <c r="Q682" t="s">
        <v>2506</v>
      </c>
    </row>
    <row r="683" spans="1:17" x14ac:dyDescent="0.25">
      <c r="A683">
        <v>1493</v>
      </c>
      <c r="B683" t="s">
        <v>11</v>
      </c>
      <c r="C683" t="s">
        <v>2522</v>
      </c>
      <c r="D683" t="s">
        <v>219</v>
      </c>
      <c r="E683" s="16">
        <v>1342</v>
      </c>
      <c r="F683" s="16" t="s">
        <v>817</v>
      </c>
      <c r="G683" t="s">
        <v>15</v>
      </c>
      <c r="H683" s="8" t="s">
        <v>398</v>
      </c>
      <c r="I683" t="s">
        <v>2515</v>
      </c>
      <c r="K683" t="s">
        <v>2516</v>
      </c>
      <c r="L683" t="s">
        <v>2517</v>
      </c>
    </row>
    <row r="684" spans="1:17" x14ac:dyDescent="0.25">
      <c r="A684">
        <v>1493</v>
      </c>
      <c r="B684" t="s">
        <v>11</v>
      </c>
      <c r="C684" t="s">
        <v>2522</v>
      </c>
      <c r="D684" t="s">
        <v>219</v>
      </c>
      <c r="E684" s="16">
        <v>1342</v>
      </c>
      <c r="F684" s="16" t="s">
        <v>817</v>
      </c>
      <c r="G684" t="s">
        <v>15</v>
      </c>
      <c r="H684" s="8" t="s">
        <v>398</v>
      </c>
      <c r="I684" t="s">
        <v>2518</v>
      </c>
      <c r="K684" t="s">
        <v>2519</v>
      </c>
      <c r="L684" t="s">
        <v>2520</v>
      </c>
    </row>
    <row r="685" spans="1:17" x14ac:dyDescent="0.25">
      <c r="A685">
        <v>1501</v>
      </c>
      <c r="B685" t="s">
        <v>2524</v>
      </c>
      <c r="C685" t="s">
        <v>2522</v>
      </c>
      <c r="D685" t="s">
        <v>219</v>
      </c>
      <c r="E685" s="16">
        <v>1342</v>
      </c>
      <c r="F685" s="16" t="s">
        <v>817</v>
      </c>
      <c r="G685" t="s">
        <v>15</v>
      </c>
      <c r="H685" t="s">
        <v>2532</v>
      </c>
      <c r="I685" t="s">
        <v>2528</v>
      </c>
      <c r="J685" t="s">
        <v>2529</v>
      </c>
      <c r="K685" t="s">
        <v>2530</v>
      </c>
      <c r="L685" t="s">
        <v>2531</v>
      </c>
    </row>
    <row r="686" spans="1:17" x14ac:dyDescent="0.25">
      <c r="A686">
        <v>1502</v>
      </c>
      <c r="B686" t="s">
        <v>2533</v>
      </c>
      <c r="C686" t="s">
        <v>2562</v>
      </c>
      <c r="D686" t="s">
        <v>220</v>
      </c>
      <c r="E686" s="16">
        <v>1342</v>
      </c>
      <c r="F686" s="16" t="s">
        <v>817</v>
      </c>
      <c r="G686" t="s">
        <v>15</v>
      </c>
      <c r="H686" t="s">
        <v>1153</v>
      </c>
      <c r="I686" t="s">
        <v>2562</v>
      </c>
      <c r="K686" t="s">
        <v>2564</v>
      </c>
      <c r="L686" t="s">
        <v>2565</v>
      </c>
      <c r="M686" t="s">
        <v>2566</v>
      </c>
      <c r="N686" t="s">
        <v>2567</v>
      </c>
      <c r="Q686" t="s">
        <v>2563</v>
      </c>
    </row>
    <row r="687" spans="1:17" x14ac:dyDescent="0.25">
      <c r="A687">
        <v>1502</v>
      </c>
      <c r="B687" t="s">
        <v>2533</v>
      </c>
      <c r="C687" t="s">
        <v>2522</v>
      </c>
      <c r="D687" t="s">
        <v>220</v>
      </c>
      <c r="E687" s="16">
        <v>1342</v>
      </c>
      <c r="F687" s="16" t="s">
        <v>817</v>
      </c>
      <c r="G687" t="s">
        <v>15</v>
      </c>
      <c r="H687" t="s">
        <v>488</v>
      </c>
      <c r="J687" t="s">
        <v>2535</v>
      </c>
      <c r="K687" t="s">
        <v>2536</v>
      </c>
      <c r="L687" t="s">
        <v>2537</v>
      </c>
    </row>
    <row r="688" spans="1:17" x14ac:dyDescent="0.25">
      <c r="A688">
        <v>1502</v>
      </c>
      <c r="B688" t="s">
        <v>2533</v>
      </c>
      <c r="C688" t="s">
        <v>2522</v>
      </c>
      <c r="D688" t="s">
        <v>220</v>
      </c>
      <c r="E688" s="16">
        <v>1342</v>
      </c>
      <c r="F688" s="16" t="s">
        <v>817</v>
      </c>
      <c r="G688" t="s">
        <v>15</v>
      </c>
      <c r="H688" t="s">
        <v>764</v>
      </c>
      <c r="J688" t="s">
        <v>2535</v>
      </c>
      <c r="K688" t="s">
        <v>2538</v>
      </c>
    </row>
    <row r="689" spans="1:15" x14ac:dyDescent="0.25">
      <c r="A689">
        <v>1503</v>
      </c>
      <c r="B689" t="s">
        <v>1730</v>
      </c>
      <c r="C689" t="s">
        <v>2543</v>
      </c>
      <c r="D689" t="s">
        <v>219</v>
      </c>
      <c r="E689" s="5">
        <v>1345</v>
      </c>
      <c r="F689" t="s">
        <v>1082</v>
      </c>
      <c r="G689">
        <v>6</v>
      </c>
      <c r="H689" t="s">
        <v>2549</v>
      </c>
      <c r="J689" t="s">
        <v>2550</v>
      </c>
      <c r="K689" t="s">
        <v>2547</v>
      </c>
      <c r="L689" t="s">
        <v>2551</v>
      </c>
      <c r="M689" t="s">
        <v>2552</v>
      </c>
    </row>
    <row r="690" spans="1:15" x14ac:dyDescent="0.25">
      <c r="A690">
        <v>1503</v>
      </c>
      <c r="B690" t="s">
        <v>1730</v>
      </c>
      <c r="C690" t="s">
        <v>2543</v>
      </c>
      <c r="D690" t="s">
        <v>219</v>
      </c>
      <c r="E690" s="5">
        <v>1345</v>
      </c>
      <c r="F690" t="s">
        <v>1082</v>
      </c>
      <c r="G690">
        <v>6</v>
      </c>
      <c r="H690" t="s">
        <v>764</v>
      </c>
      <c r="J690" t="s">
        <v>2545</v>
      </c>
      <c r="K690" t="s">
        <v>2546</v>
      </c>
      <c r="L690" t="s">
        <v>2547</v>
      </c>
    </row>
    <row r="691" spans="1:15" x14ac:dyDescent="0.25">
      <c r="A691">
        <v>1503</v>
      </c>
      <c r="B691" t="s">
        <v>1730</v>
      </c>
      <c r="C691" t="s">
        <v>2543</v>
      </c>
      <c r="D691" t="s">
        <v>219</v>
      </c>
      <c r="E691" s="5">
        <v>1345</v>
      </c>
      <c r="F691" t="s">
        <v>1082</v>
      </c>
      <c r="G691">
        <v>6</v>
      </c>
      <c r="H691" t="s">
        <v>488</v>
      </c>
      <c r="J691" t="s">
        <v>2545</v>
      </c>
      <c r="K691" t="s">
        <v>2546</v>
      </c>
      <c r="L691" t="s">
        <v>2547</v>
      </c>
    </row>
    <row r="692" spans="1:15" x14ac:dyDescent="0.25">
      <c r="A692">
        <v>1503</v>
      </c>
      <c r="B692" t="s">
        <v>1730</v>
      </c>
      <c r="C692" t="s">
        <v>2543</v>
      </c>
      <c r="D692" t="s">
        <v>219</v>
      </c>
      <c r="E692" s="5">
        <v>1345</v>
      </c>
      <c r="F692" t="s">
        <v>1082</v>
      </c>
      <c r="G692">
        <v>6</v>
      </c>
      <c r="H692" t="s">
        <v>488</v>
      </c>
      <c r="J692" t="s">
        <v>2545</v>
      </c>
      <c r="K692" t="s">
        <v>2553</v>
      </c>
      <c r="L692" t="s">
        <v>2547</v>
      </c>
    </row>
    <row r="693" spans="1:15" x14ac:dyDescent="0.25">
      <c r="A693">
        <v>1503</v>
      </c>
      <c r="B693" t="s">
        <v>1730</v>
      </c>
      <c r="C693" t="s">
        <v>2543</v>
      </c>
      <c r="D693" t="s">
        <v>219</v>
      </c>
      <c r="E693" s="5">
        <v>1345</v>
      </c>
      <c r="F693" t="s">
        <v>1082</v>
      </c>
      <c r="G693">
        <v>6</v>
      </c>
      <c r="H693" t="s">
        <v>488</v>
      </c>
      <c r="J693" t="s">
        <v>2548</v>
      </c>
      <c r="K693" t="s">
        <v>2547</v>
      </c>
    </row>
    <row r="694" spans="1:15" x14ac:dyDescent="0.25">
      <c r="A694">
        <v>1521</v>
      </c>
      <c r="B694" t="s">
        <v>465</v>
      </c>
      <c r="C694" t="s">
        <v>2573</v>
      </c>
      <c r="D694" t="s">
        <v>219</v>
      </c>
      <c r="E694" s="16">
        <v>1342</v>
      </c>
      <c r="F694" s="16" t="s">
        <v>817</v>
      </c>
      <c r="G694" t="s">
        <v>15</v>
      </c>
      <c r="H694" t="s">
        <v>1153</v>
      </c>
      <c r="I694" t="s">
        <v>5</v>
      </c>
      <c r="K694" t="s">
        <v>2574</v>
      </c>
      <c r="L694" t="s">
        <v>2575</v>
      </c>
      <c r="M694" t="s">
        <v>2576</v>
      </c>
      <c r="N694" t="s">
        <v>2577</v>
      </c>
      <c r="O694" t="s">
        <v>2578</v>
      </c>
    </row>
    <row r="695" spans="1:15" x14ac:dyDescent="0.25">
      <c r="A695">
        <v>1522</v>
      </c>
      <c r="B695" t="s">
        <v>11</v>
      </c>
      <c r="C695" t="s">
        <v>2582</v>
      </c>
      <c r="D695" t="s">
        <v>219</v>
      </c>
      <c r="E695" s="16">
        <v>1342</v>
      </c>
      <c r="F695" t="s">
        <v>1097</v>
      </c>
      <c r="G695">
        <v>8</v>
      </c>
      <c r="H695" t="s">
        <v>1683</v>
      </c>
      <c r="J695" t="s">
        <v>2583</v>
      </c>
      <c r="K695" t="s">
        <v>2584</v>
      </c>
      <c r="L695" t="s">
        <v>2585</v>
      </c>
      <c r="M695" t="s">
        <v>2586</v>
      </c>
      <c r="N695" t="s">
        <v>2587</v>
      </c>
    </row>
    <row r="696" spans="1:15" x14ac:dyDescent="0.25">
      <c r="A696">
        <v>1531</v>
      </c>
      <c r="B696" t="s">
        <v>2060</v>
      </c>
      <c r="C696" t="s">
        <v>2660</v>
      </c>
      <c r="D696" t="s">
        <v>219</v>
      </c>
      <c r="E696" s="16">
        <v>1342</v>
      </c>
      <c r="F696" t="s">
        <v>817</v>
      </c>
      <c r="G696">
        <v>17</v>
      </c>
      <c r="H696" t="s">
        <v>645</v>
      </c>
      <c r="I696" t="s">
        <v>2615</v>
      </c>
    </row>
    <row r="697" spans="1:15" x14ac:dyDescent="0.25">
      <c r="A697">
        <v>1531</v>
      </c>
      <c r="B697" t="s">
        <v>2060</v>
      </c>
      <c r="C697" t="s">
        <v>2660</v>
      </c>
      <c r="D697" t="s">
        <v>219</v>
      </c>
      <c r="E697" s="16">
        <v>1342</v>
      </c>
      <c r="F697" t="s">
        <v>817</v>
      </c>
      <c r="G697">
        <v>17</v>
      </c>
      <c r="H697" t="s">
        <v>645</v>
      </c>
      <c r="I697" t="s">
        <v>2616</v>
      </c>
    </row>
    <row r="698" spans="1:15" x14ac:dyDescent="0.25">
      <c r="A698">
        <v>1531</v>
      </c>
      <c r="B698" t="s">
        <v>2060</v>
      </c>
      <c r="C698" t="s">
        <v>2660</v>
      </c>
      <c r="D698" t="s">
        <v>219</v>
      </c>
      <c r="E698" s="16">
        <v>1342</v>
      </c>
      <c r="F698" t="s">
        <v>817</v>
      </c>
      <c r="G698">
        <v>17</v>
      </c>
      <c r="H698" t="s">
        <v>645</v>
      </c>
      <c r="I698" t="s">
        <v>2611</v>
      </c>
      <c r="K698" t="s">
        <v>2610</v>
      </c>
      <c r="L698" t="s">
        <v>2612</v>
      </c>
    </row>
    <row r="699" spans="1:15" x14ac:dyDescent="0.25">
      <c r="A699">
        <v>1531</v>
      </c>
      <c r="B699" t="s">
        <v>2060</v>
      </c>
      <c r="C699" t="s">
        <v>2660</v>
      </c>
      <c r="D699" t="s">
        <v>219</v>
      </c>
      <c r="E699" s="16">
        <v>1342</v>
      </c>
      <c r="F699" t="s">
        <v>817</v>
      </c>
      <c r="G699">
        <v>17</v>
      </c>
      <c r="H699" s="8" t="s">
        <v>398</v>
      </c>
      <c r="I699" t="s">
        <v>2599</v>
      </c>
      <c r="K699" t="s">
        <v>2600</v>
      </c>
      <c r="L699" t="s">
        <v>2601</v>
      </c>
    </row>
    <row r="700" spans="1:15" x14ac:dyDescent="0.25">
      <c r="A700">
        <v>1531</v>
      </c>
      <c r="B700" t="s">
        <v>2060</v>
      </c>
      <c r="C700" t="s">
        <v>2660</v>
      </c>
      <c r="D700" t="s">
        <v>219</v>
      </c>
      <c r="E700" s="16">
        <v>1342</v>
      </c>
      <c r="F700" t="s">
        <v>817</v>
      </c>
      <c r="G700">
        <v>17</v>
      </c>
      <c r="H700" t="s">
        <v>645</v>
      </c>
      <c r="I700" t="s">
        <v>2614</v>
      </c>
    </row>
    <row r="701" spans="1:15" x14ac:dyDescent="0.25">
      <c r="A701">
        <v>1531</v>
      </c>
      <c r="B701" t="s">
        <v>2060</v>
      </c>
      <c r="C701" t="s">
        <v>2660</v>
      </c>
      <c r="D701" t="s">
        <v>219</v>
      </c>
      <c r="E701" s="16">
        <v>1342</v>
      </c>
      <c r="F701" t="s">
        <v>817</v>
      </c>
      <c r="G701">
        <v>17</v>
      </c>
      <c r="H701" t="s">
        <v>645</v>
      </c>
      <c r="I701" t="s">
        <v>2608</v>
      </c>
      <c r="K701" t="s">
        <v>2609</v>
      </c>
      <c r="L701" t="s">
        <v>2610</v>
      </c>
    </row>
    <row r="702" spans="1:15" x14ac:dyDescent="0.25">
      <c r="A702">
        <v>1531</v>
      </c>
      <c r="B702" t="s">
        <v>2060</v>
      </c>
      <c r="C702" t="s">
        <v>2660</v>
      </c>
      <c r="D702" t="s">
        <v>219</v>
      </c>
      <c r="E702" s="16">
        <v>1342</v>
      </c>
      <c r="F702" t="s">
        <v>817</v>
      </c>
      <c r="G702">
        <v>17</v>
      </c>
      <c r="H702" t="s">
        <v>645</v>
      </c>
      <c r="I702" t="s">
        <v>2613</v>
      </c>
      <c r="K702" t="s">
        <v>2610</v>
      </c>
    </row>
    <row r="703" spans="1:15" x14ac:dyDescent="0.25">
      <c r="A703">
        <v>1531</v>
      </c>
      <c r="B703" t="s">
        <v>2060</v>
      </c>
      <c r="C703" t="s">
        <v>2660</v>
      </c>
      <c r="D703" t="s">
        <v>219</v>
      </c>
      <c r="E703" s="16">
        <v>1342</v>
      </c>
      <c r="F703" t="s">
        <v>817</v>
      </c>
      <c r="G703">
        <v>17</v>
      </c>
      <c r="H703" t="s">
        <v>389</v>
      </c>
      <c r="J703" t="s">
        <v>2593</v>
      </c>
      <c r="K703" t="s">
        <v>2594</v>
      </c>
      <c r="L703" t="s">
        <v>2595</v>
      </c>
    </row>
    <row r="704" spans="1:15" x14ac:dyDescent="0.25">
      <c r="A704">
        <v>1531</v>
      </c>
      <c r="B704" t="s">
        <v>2060</v>
      </c>
      <c r="C704" t="s">
        <v>2660</v>
      </c>
      <c r="D704" t="s">
        <v>219</v>
      </c>
      <c r="E704" s="16">
        <v>1342</v>
      </c>
      <c r="F704" t="s">
        <v>817</v>
      </c>
      <c r="G704">
        <v>17</v>
      </c>
      <c r="H704" t="s">
        <v>645</v>
      </c>
      <c r="J704" t="s">
        <v>2606</v>
      </c>
      <c r="K704" t="s">
        <v>2607</v>
      </c>
    </row>
    <row r="705" spans="1:17" x14ac:dyDescent="0.25">
      <c r="A705">
        <v>1531</v>
      </c>
      <c r="B705" t="s">
        <v>2060</v>
      </c>
      <c r="C705" t="s">
        <v>2660</v>
      </c>
      <c r="D705" t="s">
        <v>219</v>
      </c>
      <c r="E705" s="16">
        <v>1342</v>
      </c>
      <c r="F705" t="s">
        <v>817</v>
      </c>
      <c r="G705">
        <v>17</v>
      </c>
      <c r="H705" t="s">
        <v>645</v>
      </c>
      <c r="J705" t="s">
        <v>2617</v>
      </c>
    </row>
    <row r="706" spans="1:17" x14ac:dyDescent="0.25">
      <c r="A706">
        <v>1531</v>
      </c>
      <c r="B706" t="s">
        <v>2060</v>
      </c>
      <c r="C706" t="s">
        <v>2660</v>
      </c>
      <c r="D706" t="s">
        <v>219</v>
      </c>
      <c r="E706" s="16">
        <v>1342</v>
      </c>
      <c r="F706" t="s">
        <v>817</v>
      </c>
      <c r="G706">
        <v>17</v>
      </c>
      <c r="H706" t="s">
        <v>488</v>
      </c>
      <c r="J706" t="s">
        <v>2602</v>
      </c>
      <c r="K706" t="s">
        <v>2594</v>
      </c>
      <c r="L706" t="s">
        <v>2603</v>
      </c>
    </row>
    <row r="707" spans="1:17" x14ac:dyDescent="0.25">
      <c r="A707">
        <v>1531</v>
      </c>
      <c r="B707" t="s">
        <v>2060</v>
      </c>
      <c r="C707" t="s">
        <v>2660</v>
      </c>
      <c r="D707" t="s">
        <v>219</v>
      </c>
      <c r="E707" s="16">
        <v>1342</v>
      </c>
      <c r="F707" t="s">
        <v>817</v>
      </c>
      <c r="G707">
        <v>17</v>
      </c>
      <c r="H707" t="s">
        <v>488</v>
      </c>
      <c r="J707" t="s">
        <v>2604</v>
      </c>
      <c r="K707" t="s">
        <v>2594</v>
      </c>
      <c r="L707" t="s">
        <v>2605</v>
      </c>
    </row>
    <row r="708" spans="1:17" x14ac:dyDescent="0.25">
      <c r="A708">
        <v>1531</v>
      </c>
      <c r="B708" t="s">
        <v>2060</v>
      </c>
      <c r="C708" t="s">
        <v>2660</v>
      </c>
      <c r="D708" t="s">
        <v>219</v>
      </c>
      <c r="E708" s="16">
        <v>1342</v>
      </c>
      <c r="F708" t="s">
        <v>817</v>
      </c>
      <c r="G708">
        <v>17</v>
      </c>
      <c r="H708" s="8" t="s">
        <v>398</v>
      </c>
      <c r="J708" t="s">
        <v>2596</v>
      </c>
      <c r="K708" t="s">
        <v>2597</v>
      </c>
      <c r="L708" t="s">
        <v>2598</v>
      </c>
    </row>
    <row r="709" spans="1:17" x14ac:dyDescent="0.25">
      <c r="A709">
        <v>1541</v>
      </c>
      <c r="B709" t="s">
        <v>23</v>
      </c>
      <c r="C709" t="s">
        <v>2653</v>
      </c>
      <c r="D709" t="s">
        <v>219</v>
      </c>
      <c r="E709" s="16">
        <v>1342</v>
      </c>
      <c r="F709" t="s">
        <v>817</v>
      </c>
      <c r="G709">
        <v>17</v>
      </c>
      <c r="H709" t="s">
        <v>725</v>
      </c>
      <c r="J709" t="s">
        <v>2634</v>
      </c>
      <c r="K709" t="s">
        <v>2635</v>
      </c>
      <c r="L709" t="s">
        <v>1592</v>
      </c>
    </row>
    <row r="710" spans="1:17" x14ac:dyDescent="0.25">
      <c r="A710">
        <v>1541</v>
      </c>
      <c r="B710" t="s">
        <v>23</v>
      </c>
      <c r="C710" t="s">
        <v>2653</v>
      </c>
      <c r="D710" t="s">
        <v>219</v>
      </c>
      <c r="E710" s="16">
        <v>1342</v>
      </c>
      <c r="F710" t="s">
        <v>817</v>
      </c>
      <c r="G710">
        <v>17</v>
      </c>
      <c r="H710" t="s">
        <v>2638</v>
      </c>
      <c r="J710" t="s">
        <v>2639</v>
      </c>
      <c r="K710" t="s">
        <v>2640</v>
      </c>
      <c r="L710" t="s">
        <v>2641</v>
      </c>
    </row>
    <row r="711" spans="1:17" x14ac:dyDescent="0.25">
      <c r="A711">
        <v>1541</v>
      </c>
      <c r="B711" t="s">
        <v>23</v>
      </c>
      <c r="C711" t="s">
        <v>2653</v>
      </c>
      <c r="D711" t="s">
        <v>219</v>
      </c>
      <c r="E711" s="16">
        <v>1342</v>
      </c>
      <c r="F711" t="s">
        <v>817</v>
      </c>
      <c r="G711">
        <v>17</v>
      </c>
      <c r="H711" t="s">
        <v>389</v>
      </c>
      <c r="J711" t="s">
        <v>2632</v>
      </c>
      <c r="K711" t="s">
        <v>2633</v>
      </c>
    </row>
    <row r="712" spans="1:17" x14ac:dyDescent="0.25">
      <c r="A712">
        <v>1541</v>
      </c>
      <c r="B712" t="s">
        <v>23</v>
      </c>
      <c r="C712" t="s">
        <v>2653</v>
      </c>
      <c r="D712" t="s">
        <v>219</v>
      </c>
      <c r="E712" s="16">
        <v>1342</v>
      </c>
      <c r="F712" t="s">
        <v>817</v>
      </c>
      <c r="G712">
        <v>17</v>
      </c>
      <c r="H712" t="s">
        <v>488</v>
      </c>
      <c r="K712" t="s">
        <v>1269</v>
      </c>
    </row>
    <row r="713" spans="1:17" x14ac:dyDescent="0.25">
      <c r="A713">
        <v>1541</v>
      </c>
      <c r="B713" t="s">
        <v>23</v>
      </c>
      <c r="C713" t="s">
        <v>2653</v>
      </c>
      <c r="D713" t="s">
        <v>219</v>
      </c>
      <c r="E713" s="16">
        <v>1342</v>
      </c>
      <c r="F713" t="s">
        <v>817</v>
      </c>
      <c r="G713">
        <v>17</v>
      </c>
      <c r="H713" s="8" t="s">
        <v>398</v>
      </c>
      <c r="Q713" t="s">
        <v>2637</v>
      </c>
    </row>
    <row r="714" spans="1:17" x14ac:dyDescent="0.25">
      <c r="A714">
        <v>1541</v>
      </c>
      <c r="B714" t="s">
        <v>23</v>
      </c>
      <c r="C714" t="s">
        <v>2653</v>
      </c>
      <c r="D714" t="s">
        <v>219</v>
      </c>
      <c r="E714" s="16">
        <v>1342</v>
      </c>
      <c r="F714" t="s">
        <v>817</v>
      </c>
      <c r="G714">
        <v>17</v>
      </c>
      <c r="H714" s="8" t="s">
        <v>398</v>
      </c>
      <c r="K714" t="s">
        <v>2644</v>
      </c>
      <c r="L714" t="s">
        <v>2645</v>
      </c>
      <c r="Q714" t="s">
        <v>2643</v>
      </c>
    </row>
    <row r="715" spans="1:17" x14ac:dyDescent="0.25">
      <c r="A715">
        <v>1542</v>
      </c>
      <c r="B715" t="s">
        <v>23</v>
      </c>
      <c r="C715" t="s">
        <v>2653</v>
      </c>
      <c r="D715" t="s">
        <v>219</v>
      </c>
      <c r="E715" s="5">
        <v>1343</v>
      </c>
      <c r="G715" s="9" t="s">
        <v>2652</v>
      </c>
      <c r="H715" t="s">
        <v>2655</v>
      </c>
      <c r="I715" t="s">
        <v>2656</v>
      </c>
      <c r="K715" t="s">
        <v>1072</v>
      </c>
      <c r="L715" t="s">
        <v>2657</v>
      </c>
      <c r="Q715" t="s">
        <v>2658</v>
      </c>
    </row>
    <row r="716" spans="1:17" x14ac:dyDescent="0.25">
      <c r="A716">
        <v>1551</v>
      </c>
      <c r="B716" t="s">
        <v>11</v>
      </c>
      <c r="C716" t="s">
        <v>2661</v>
      </c>
      <c r="D716" t="s">
        <v>219</v>
      </c>
      <c r="E716" s="16">
        <v>1342</v>
      </c>
      <c r="F716" t="s">
        <v>817</v>
      </c>
      <c r="G716">
        <v>17</v>
      </c>
      <c r="H716" t="s">
        <v>645</v>
      </c>
      <c r="I716" t="s">
        <v>2665</v>
      </c>
    </row>
    <row r="717" spans="1:17" x14ac:dyDescent="0.25">
      <c r="A717">
        <v>1551</v>
      </c>
      <c r="B717" t="s">
        <v>11</v>
      </c>
      <c r="C717" t="s">
        <v>2661</v>
      </c>
      <c r="D717" t="s">
        <v>219</v>
      </c>
      <c r="E717" s="16">
        <v>1342</v>
      </c>
      <c r="F717" t="s">
        <v>817</v>
      </c>
      <c r="G717">
        <v>17</v>
      </c>
      <c r="H717" t="s">
        <v>488</v>
      </c>
      <c r="I717" t="s">
        <v>2324</v>
      </c>
    </row>
    <row r="718" spans="1:17" x14ac:dyDescent="0.25">
      <c r="A718">
        <v>1551</v>
      </c>
      <c r="B718" t="s">
        <v>11</v>
      </c>
      <c r="C718" t="s">
        <v>2661</v>
      </c>
      <c r="D718" t="s">
        <v>219</v>
      </c>
      <c r="E718" s="16">
        <v>1342</v>
      </c>
      <c r="F718" t="s">
        <v>817</v>
      </c>
      <c r="G718">
        <v>17</v>
      </c>
      <c r="H718" t="s">
        <v>2666</v>
      </c>
      <c r="I718" t="s">
        <v>2667</v>
      </c>
    </row>
    <row r="719" spans="1:17" x14ac:dyDescent="0.25">
      <c r="A719">
        <v>1551</v>
      </c>
      <c r="B719" t="s">
        <v>11</v>
      </c>
      <c r="C719" t="s">
        <v>2661</v>
      </c>
      <c r="D719" t="s">
        <v>219</v>
      </c>
      <c r="E719" s="16">
        <v>1342</v>
      </c>
      <c r="F719" t="s">
        <v>817</v>
      </c>
      <c r="G719">
        <v>17</v>
      </c>
      <c r="H719" t="s">
        <v>1816</v>
      </c>
      <c r="I719" t="s">
        <v>1491</v>
      </c>
      <c r="K719" t="s">
        <v>1269</v>
      </c>
      <c r="L719" t="s">
        <v>779</v>
      </c>
    </row>
    <row r="720" spans="1:17" x14ac:dyDescent="0.25">
      <c r="A720">
        <v>1551</v>
      </c>
      <c r="B720" t="s">
        <v>11</v>
      </c>
      <c r="C720" t="s">
        <v>2661</v>
      </c>
      <c r="D720" t="s">
        <v>219</v>
      </c>
      <c r="E720" s="16">
        <v>1342</v>
      </c>
      <c r="F720" t="s">
        <v>817</v>
      </c>
      <c r="G720">
        <v>17</v>
      </c>
      <c r="H720" t="s">
        <v>645</v>
      </c>
      <c r="I720" t="s">
        <v>2668</v>
      </c>
    </row>
    <row r="721" spans="1:13" x14ac:dyDescent="0.25">
      <c r="A721">
        <v>1551</v>
      </c>
      <c r="B721" t="s">
        <v>11</v>
      </c>
      <c r="C721" t="s">
        <v>2661</v>
      </c>
      <c r="D721" t="s">
        <v>219</v>
      </c>
      <c r="E721" s="16">
        <v>1342</v>
      </c>
      <c r="F721" t="s">
        <v>817</v>
      </c>
      <c r="G721">
        <v>17</v>
      </c>
      <c r="H721" t="s">
        <v>645</v>
      </c>
      <c r="I721" t="s">
        <v>2669</v>
      </c>
    </row>
    <row r="722" spans="1:13" x14ac:dyDescent="0.25">
      <c r="A722">
        <v>1551</v>
      </c>
      <c r="B722" t="s">
        <v>11</v>
      </c>
      <c r="C722" t="s">
        <v>2661</v>
      </c>
      <c r="D722" t="s">
        <v>219</v>
      </c>
      <c r="E722" s="16">
        <v>1342</v>
      </c>
      <c r="F722" t="s">
        <v>817</v>
      </c>
      <c r="G722">
        <v>17</v>
      </c>
      <c r="H722" t="s">
        <v>227</v>
      </c>
      <c r="I722" t="s">
        <v>2673</v>
      </c>
    </row>
    <row r="723" spans="1:13" x14ac:dyDescent="0.25">
      <c r="A723">
        <v>1551</v>
      </c>
      <c r="B723" t="s">
        <v>11</v>
      </c>
      <c r="C723" t="s">
        <v>2661</v>
      </c>
      <c r="D723" t="s">
        <v>219</v>
      </c>
      <c r="E723" s="16">
        <v>1342</v>
      </c>
      <c r="F723" t="s">
        <v>817</v>
      </c>
      <c r="G723">
        <v>17</v>
      </c>
      <c r="H723" t="s">
        <v>253</v>
      </c>
      <c r="I723" t="s">
        <v>2673</v>
      </c>
    </row>
    <row r="724" spans="1:13" x14ac:dyDescent="0.25">
      <c r="A724">
        <v>1551</v>
      </c>
      <c r="B724" t="s">
        <v>11</v>
      </c>
      <c r="C724" t="s">
        <v>2661</v>
      </c>
      <c r="D724" t="s">
        <v>219</v>
      </c>
      <c r="E724" s="16">
        <v>1342</v>
      </c>
      <c r="F724" t="s">
        <v>817</v>
      </c>
      <c r="G724">
        <v>17</v>
      </c>
      <c r="H724" t="s">
        <v>645</v>
      </c>
      <c r="I724" t="s">
        <v>2670</v>
      </c>
    </row>
    <row r="725" spans="1:13" x14ac:dyDescent="0.25">
      <c r="A725">
        <v>1551</v>
      </c>
      <c r="B725" t="s">
        <v>11</v>
      </c>
      <c r="C725" t="s">
        <v>2661</v>
      </c>
      <c r="D725" t="s">
        <v>219</v>
      </c>
      <c r="E725" s="16">
        <v>1342</v>
      </c>
      <c r="F725" t="s">
        <v>817</v>
      </c>
      <c r="G725">
        <v>17</v>
      </c>
      <c r="H725" t="s">
        <v>645</v>
      </c>
      <c r="I725" t="s">
        <v>2671</v>
      </c>
    </row>
    <row r="726" spans="1:13" x14ac:dyDescent="0.25">
      <c r="A726">
        <v>1551</v>
      </c>
      <c r="B726" t="s">
        <v>11</v>
      </c>
      <c r="C726" t="s">
        <v>2661</v>
      </c>
      <c r="D726" t="s">
        <v>219</v>
      </c>
      <c r="E726" s="16">
        <v>1342</v>
      </c>
      <c r="F726" t="s">
        <v>817</v>
      </c>
      <c r="G726">
        <v>17</v>
      </c>
      <c r="H726" t="s">
        <v>679</v>
      </c>
      <c r="I726" t="s">
        <v>2672</v>
      </c>
    </row>
    <row r="727" spans="1:13" x14ac:dyDescent="0.25">
      <c r="A727">
        <v>1551</v>
      </c>
      <c r="B727" t="s">
        <v>11</v>
      </c>
      <c r="C727" t="s">
        <v>2661</v>
      </c>
      <c r="D727" t="s">
        <v>219</v>
      </c>
      <c r="E727" s="16">
        <v>1342</v>
      </c>
      <c r="F727" t="s">
        <v>817</v>
      </c>
      <c r="G727">
        <v>17</v>
      </c>
      <c r="H727" t="s">
        <v>389</v>
      </c>
      <c r="J727" t="s">
        <v>2662</v>
      </c>
      <c r="K727" t="s">
        <v>2663</v>
      </c>
    </row>
    <row r="728" spans="1:13" x14ac:dyDescent="0.25">
      <c r="A728">
        <v>1551</v>
      </c>
      <c r="B728" t="s">
        <v>11</v>
      </c>
      <c r="C728" t="s">
        <v>2661</v>
      </c>
      <c r="D728" t="s">
        <v>219</v>
      </c>
      <c r="E728" s="16">
        <v>1342</v>
      </c>
      <c r="F728" t="s">
        <v>817</v>
      </c>
      <c r="G728">
        <v>17</v>
      </c>
      <c r="H728" t="s">
        <v>833</v>
      </c>
      <c r="J728" t="s">
        <v>2677</v>
      </c>
      <c r="K728" t="s">
        <v>2678</v>
      </c>
      <c r="L728" t="s">
        <v>2679</v>
      </c>
      <c r="M728" t="s">
        <v>2680</v>
      </c>
    </row>
    <row r="729" spans="1:13" x14ac:dyDescent="0.25">
      <c r="A729">
        <v>1551</v>
      </c>
      <c r="B729" t="s">
        <v>11</v>
      </c>
      <c r="C729" t="s">
        <v>2661</v>
      </c>
      <c r="D729" t="s">
        <v>219</v>
      </c>
      <c r="E729" s="16">
        <v>1342</v>
      </c>
      <c r="F729" t="s">
        <v>817</v>
      </c>
      <c r="G729">
        <v>17</v>
      </c>
      <c r="H729" t="s">
        <v>488</v>
      </c>
      <c r="K729" t="s">
        <v>1269</v>
      </c>
    </row>
    <row r="730" spans="1:13" x14ac:dyDescent="0.25">
      <c r="A730">
        <v>1561</v>
      </c>
      <c r="B730" t="s">
        <v>1439</v>
      </c>
      <c r="C730" t="s">
        <v>2661</v>
      </c>
      <c r="D730" t="s">
        <v>219</v>
      </c>
      <c r="E730" s="16">
        <v>1342</v>
      </c>
      <c r="F730" t="s">
        <v>817</v>
      </c>
      <c r="G730">
        <v>17</v>
      </c>
      <c r="H730" t="s">
        <v>645</v>
      </c>
      <c r="I730" t="s">
        <v>2695</v>
      </c>
    </row>
    <row r="731" spans="1:13" x14ac:dyDescent="0.25">
      <c r="A731">
        <v>1561</v>
      </c>
      <c r="B731" t="s">
        <v>1439</v>
      </c>
      <c r="C731" t="s">
        <v>2661</v>
      </c>
      <c r="D731" t="s">
        <v>219</v>
      </c>
      <c r="E731" s="16">
        <v>1342</v>
      </c>
      <c r="F731" t="s">
        <v>817</v>
      </c>
      <c r="G731">
        <v>17</v>
      </c>
      <c r="H731" t="s">
        <v>645</v>
      </c>
      <c r="I731" t="s">
        <v>2696</v>
      </c>
      <c r="J731" t="s">
        <v>2697</v>
      </c>
    </row>
    <row r="732" spans="1:13" x14ac:dyDescent="0.25">
      <c r="A732">
        <v>1561</v>
      </c>
      <c r="B732" t="s">
        <v>1439</v>
      </c>
      <c r="C732" t="s">
        <v>2661</v>
      </c>
      <c r="D732" t="s">
        <v>219</v>
      </c>
      <c r="E732" s="16">
        <v>1342</v>
      </c>
      <c r="F732" t="s">
        <v>817</v>
      </c>
      <c r="G732">
        <v>17</v>
      </c>
      <c r="H732" t="s">
        <v>645</v>
      </c>
      <c r="I732" t="s">
        <v>2698</v>
      </c>
      <c r="K732" t="s">
        <v>2699</v>
      </c>
      <c r="L732" t="s">
        <v>2699</v>
      </c>
    </row>
    <row r="733" spans="1:13" x14ac:dyDescent="0.25">
      <c r="A733">
        <v>1561</v>
      </c>
      <c r="B733" t="s">
        <v>1439</v>
      </c>
      <c r="C733" t="s">
        <v>2661</v>
      </c>
      <c r="D733" t="s">
        <v>219</v>
      </c>
      <c r="E733" s="16">
        <v>1342</v>
      </c>
      <c r="F733" t="s">
        <v>817</v>
      </c>
      <c r="G733">
        <v>17</v>
      </c>
      <c r="H733" t="s">
        <v>488</v>
      </c>
      <c r="I733" t="s">
        <v>2694</v>
      </c>
      <c r="J733" t="s">
        <v>2692</v>
      </c>
    </row>
    <row r="734" spans="1:13" x14ac:dyDescent="0.25">
      <c r="A734">
        <v>1561</v>
      </c>
      <c r="B734" t="s">
        <v>1439</v>
      </c>
      <c r="C734" t="s">
        <v>2661</v>
      </c>
      <c r="D734" t="s">
        <v>219</v>
      </c>
      <c r="E734" s="16">
        <v>1342</v>
      </c>
      <c r="F734" t="s">
        <v>817</v>
      </c>
      <c r="G734">
        <v>17</v>
      </c>
      <c r="H734" t="s">
        <v>329</v>
      </c>
      <c r="I734" t="s">
        <v>2700</v>
      </c>
    </row>
    <row r="735" spans="1:13" x14ac:dyDescent="0.25">
      <c r="A735">
        <v>1561</v>
      </c>
      <c r="B735" t="s">
        <v>1439</v>
      </c>
      <c r="C735" t="s">
        <v>2661</v>
      </c>
      <c r="D735" t="s">
        <v>219</v>
      </c>
      <c r="E735" s="16">
        <v>1342</v>
      </c>
      <c r="F735" t="s">
        <v>817</v>
      </c>
      <c r="G735">
        <v>17</v>
      </c>
      <c r="H735" t="s">
        <v>488</v>
      </c>
      <c r="I735" t="s">
        <v>2693</v>
      </c>
      <c r="J735" t="s">
        <v>2692</v>
      </c>
    </row>
    <row r="736" spans="1:13" x14ac:dyDescent="0.25">
      <c r="A736">
        <v>1561</v>
      </c>
      <c r="B736" t="s">
        <v>1439</v>
      </c>
      <c r="C736" t="s">
        <v>2661</v>
      </c>
      <c r="D736" t="s">
        <v>219</v>
      </c>
      <c r="E736" s="16">
        <v>1342</v>
      </c>
      <c r="F736" t="s">
        <v>817</v>
      </c>
      <c r="G736">
        <v>17</v>
      </c>
      <c r="H736" t="s">
        <v>645</v>
      </c>
      <c r="I736" t="s">
        <v>2701</v>
      </c>
    </row>
    <row r="737" spans="1:18" x14ac:dyDescent="0.25">
      <c r="A737">
        <v>1561</v>
      </c>
      <c r="B737" t="s">
        <v>1439</v>
      </c>
      <c r="C737" t="s">
        <v>2661</v>
      </c>
      <c r="D737" t="s">
        <v>219</v>
      </c>
      <c r="E737" s="16">
        <v>1342</v>
      </c>
      <c r="F737" t="s">
        <v>817</v>
      </c>
      <c r="G737">
        <v>17</v>
      </c>
      <c r="H737" t="s">
        <v>679</v>
      </c>
      <c r="I737" t="s">
        <v>2701</v>
      </c>
    </row>
    <row r="738" spans="1:18" x14ac:dyDescent="0.25">
      <c r="A738">
        <v>1561</v>
      </c>
      <c r="B738" t="s">
        <v>1439</v>
      </c>
      <c r="C738" t="s">
        <v>2661</v>
      </c>
      <c r="D738" t="s">
        <v>219</v>
      </c>
      <c r="E738" s="16">
        <v>1342</v>
      </c>
      <c r="F738" t="s">
        <v>817</v>
      </c>
      <c r="G738">
        <v>17</v>
      </c>
      <c r="H738" s="8" t="s">
        <v>398</v>
      </c>
      <c r="I738" t="s">
        <v>2689</v>
      </c>
      <c r="J738" t="s">
        <v>2688</v>
      </c>
      <c r="K738" t="s">
        <v>2690</v>
      </c>
    </row>
    <row r="739" spans="1:18" x14ac:dyDescent="0.25">
      <c r="A739">
        <v>1561</v>
      </c>
      <c r="B739" t="s">
        <v>1439</v>
      </c>
      <c r="C739" t="s">
        <v>2661</v>
      </c>
      <c r="D739" t="s">
        <v>219</v>
      </c>
      <c r="E739" s="16">
        <v>1342</v>
      </c>
      <c r="F739" t="s">
        <v>817</v>
      </c>
      <c r="G739">
        <v>17</v>
      </c>
      <c r="H739" t="s">
        <v>389</v>
      </c>
      <c r="J739" t="s">
        <v>2592</v>
      </c>
      <c r="K739" t="s">
        <v>2687</v>
      </c>
    </row>
    <row r="740" spans="1:18" x14ac:dyDescent="0.25">
      <c r="A740">
        <v>1561</v>
      </c>
      <c r="B740" t="s">
        <v>1439</v>
      </c>
      <c r="C740" t="s">
        <v>2661</v>
      </c>
      <c r="D740" t="s">
        <v>219</v>
      </c>
      <c r="E740" s="16">
        <v>1342</v>
      </c>
      <c r="F740" t="s">
        <v>817</v>
      </c>
      <c r="G740">
        <v>17</v>
      </c>
      <c r="H740" t="s">
        <v>833</v>
      </c>
      <c r="J740" t="s">
        <v>2702</v>
      </c>
      <c r="K740" t="s">
        <v>2610</v>
      </c>
      <c r="L740" t="s">
        <v>2704</v>
      </c>
      <c r="M740" t="s">
        <v>2705</v>
      </c>
    </row>
    <row r="741" spans="1:18" x14ac:dyDescent="0.25">
      <c r="A741">
        <v>1571</v>
      </c>
      <c r="B741" t="s">
        <v>156</v>
      </c>
      <c r="C741" t="s">
        <v>2653</v>
      </c>
      <c r="D741" t="s">
        <v>219</v>
      </c>
      <c r="E741" s="5">
        <v>1342</v>
      </c>
      <c r="F741" t="s">
        <v>817</v>
      </c>
      <c r="G741">
        <v>19</v>
      </c>
      <c r="H741" t="s">
        <v>645</v>
      </c>
      <c r="I741" t="s">
        <v>2713</v>
      </c>
    </row>
    <row r="742" spans="1:18" x14ac:dyDescent="0.25">
      <c r="A742">
        <v>1571</v>
      </c>
      <c r="B742" t="s">
        <v>156</v>
      </c>
      <c r="C742" t="s">
        <v>2653</v>
      </c>
      <c r="D742" t="s">
        <v>219</v>
      </c>
      <c r="E742" s="5">
        <v>1342</v>
      </c>
      <c r="F742" t="s">
        <v>817</v>
      </c>
      <c r="G742">
        <v>19</v>
      </c>
      <c r="H742" t="s">
        <v>389</v>
      </c>
      <c r="I742" t="s">
        <v>797</v>
      </c>
      <c r="J742" t="s">
        <v>2709</v>
      </c>
      <c r="K742" t="s">
        <v>2710</v>
      </c>
      <c r="R742" t="s">
        <v>463</v>
      </c>
    </row>
    <row r="743" spans="1:18" x14ac:dyDescent="0.25">
      <c r="A743">
        <v>1571</v>
      </c>
      <c r="B743" t="s">
        <v>156</v>
      </c>
      <c r="C743" t="s">
        <v>2653</v>
      </c>
      <c r="D743" t="s">
        <v>219</v>
      </c>
      <c r="E743" s="5">
        <v>1342</v>
      </c>
      <c r="F743" t="s">
        <v>817</v>
      </c>
      <c r="G743">
        <v>19</v>
      </c>
      <c r="H743" t="s">
        <v>645</v>
      </c>
      <c r="I743" t="s">
        <v>2714</v>
      </c>
    </row>
    <row r="744" spans="1:18" x14ac:dyDescent="0.25">
      <c r="A744">
        <v>1571</v>
      </c>
      <c r="B744" t="s">
        <v>156</v>
      </c>
      <c r="C744" t="s">
        <v>2653</v>
      </c>
      <c r="D744" t="s">
        <v>219</v>
      </c>
      <c r="E744" s="5">
        <v>1342</v>
      </c>
      <c r="F744" t="s">
        <v>817</v>
      </c>
      <c r="G744">
        <v>19</v>
      </c>
      <c r="H744" t="s">
        <v>488</v>
      </c>
      <c r="I744" t="s">
        <v>2711</v>
      </c>
      <c r="J744" t="s">
        <v>2604</v>
      </c>
    </row>
    <row r="745" spans="1:18" x14ac:dyDescent="0.25">
      <c r="A745">
        <v>1571</v>
      </c>
      <c r="B745" t="s">
        <v>156</v>
      </c>
      <c r="C745" t="s">
        <v>2653</v>
      </c>
      <c r="D745" t="s">
        <v>219</v>
      </c>
      <c r="E745" s="5">
        <v>1342</v>
      </c>
      <c r="F745" t="s">
        <v>817</v>
      </c>
      <c r="G745">
        <v>19</v>
      </c>
      <c r="H745" t="s">
        <v>645</v>
      </c>
      <c r="I745" t="s">
        <v>2715</v>
      </c>
      <c r="K745" t="s">
        <v>2716</v>
      </c>
    </row>
    <row r="746" spans="1:18" x14ac:dyDescent="0.25">
      <c r="A746">
        <v>1571</v>
      </c>
      <c r="B746" t="s">
        <v>156</v>
      </c>
      <c r="C746" t="s">
        <v>2653</v>
      </c>
      <c r="D746" t="s">
        <v>219</v>
      </c>
      <c r="E746" s="5">
        <v>1342</v>
      </c>
      <c r="F746" t="s">
        <v>817</v>
      </c>
      <c r="G746">
        <v>19</v>
      </c>
      <c r="H746" s="8" t="s">
        <v>398</v>
      </c>
      <c r="J746" t="s">
        <v>2720</v>
      </c>
      <c r="K746" t="s">
        <v>2721</v>
      </c>
    </row>
    <row r="747" spans="1:18" x14ac:dyDescent="0.25">
      <c r="A747">
        <v>1571</v>
      </c>
      <c r="B747" t="s">
        <v>156</v>
      </c>
      <c r="C747" t="s">
        <v>2653</v>
      </c>
      <c r="D747" t="s">
        <v>219</v>
      </c>
      <c r="E747" s="5">
        <v>1342</v>
      </c>
      <c r="F747" t="s">
        <v>817</v>
      </c>
      <c r="G747">
        <v>19</v>
      </c>
      <c r="H747" t="s">
        <v>679</v>
      </c>
      <c r="J747" t="s">
        <v>2720</v>
      </c>
      <c r="K747" t="s">
        <v>2721</v>
      </c>
    </row>
    <row r="748" spans="1:18" x14ac:dyDescent="0.25">
      <c r="A748">
        <v>1571</v>
      </c>
      <c r="B748" t="s">
        <v>156</v>
      </c>
      <c r="C748" t="s">
        <v>2653</v>
      </c>
      <c r="D748" t="s">
        <v>219</v>
      </c>
      <c r="E748" s="5">
        <v>1342</v>
      </c>
      <c r="F748" t="s">
        <v>817</v>
      </c>
      <c r="G748">
        <v>19</v>
      </c>
      <c r="H748" t="s">
        <v>645</v>
      </c>
      <c r="J748" t="s">
        <v>3947</v>
      </c>
    </row>
    <row r="749" spans="1:18" x14ac:dyDescent="0.25">
      <c r="A749">
        <v>1571</v>
      </c>
      <c r="B749" t="s">
        <v>156</v>
      </c>
      <c r="C749" t="s">
        <v>2653</v>
      </c>
      <c r="D749" t="s">
        <v>219</v>
      </c>
      <c r="E749" s="5">
        <v>1342</v>
      </c>
      <c r="F749" t="s">
        <v>817</v>
      </c>
      <c r="G749">
        <v>19</v>
      </c>
      <c r="H749" t="s">
        <v>645</v>
      </c>
      <c r="J749" t="s">
        <v>2717</v>
      </c>
    </row>
    <row r="750" spans="1:18" x14ac:dyDescent="0.25">
      <c r="A750">
        <v>1571</v>
      </c>
      <c r="B750" t="s">
        <v>156</v>
      </c>
      <c r="C750" t="s">
        <v>2653</v>
      </c>
      <c r="D750" t="s">
        <v>219</v>
      </c>
      <c r="E750" s="5">
        <v>1342</v>
      </c>
      <c r="F750" t="s">
        <v>817</v>
      </c>
      <c r="G750">
        <v>19</v>
      </c>
      <c r="H750" t="s">
        <v>645</v>
      </c>
      <c r="J750" t="s">
        <v>2712</v>
      </c>
      <c r="K750" t="s">
        <v>2597</v>
      </c>
    </row>
    <row r="751" spans="1:18" x14ac:dyDescent="0.25">
      <c r="A751">
        <v>1571</v>
      </c>
      <c r="B751" t="s">
        <v>156</v>
      </c>
      <c r="C751" t="s">
        <v>2653</v>
      </c>
      <c r="D751" t="s">
        <v>219</v>
      </c>
      <c r="E751" s="5">
        <v>1342</v>
      </c>
      <c r="F751" t="s">
        <v>817</v>
      </c>
      <c r="G751">
        <v>19</v>
      </c>
      <c r="H751" t="s">
        <v>833</v>
      </c>
      <c r="J751" t="s">
        <v>2718</v>
      </c>
      <c r="K751" t="s">
        <v>2719</v>
      </c>
      <c r="L751" t="s">
        <v>2679</v>
      </c>
      <c r="M751" t="s">
        <v>2705</v>
      </c>
    </row>
    <row r="752" spans="1:18" x14ac:dyDescent="0.25">
      <c r="A752">
        <v>1581</v>
      </c>
      <c r="B752" t="s">
        <v>39</v>
      </c>
      <c r="C752" t="s">
        <v>2729</v>
      </c>
      <c r="D752" t="s">
        <v>219</v>
      </c>
      <c r="E752" s="5">
        <v>1342</v>
      </c>
      <c r="F752" t="s">
        <v>817</v>
      </c>
      <c r="G752">
        <v>19</v>
      </c>
      <c r="H752" t="s">
        <v>206</v>
      </c>
      <c r="I752" t="s">
        <v>2733</v>
      </c>
    </row>
    <row r="753" spans="1:18" x14ac:dyDescent="0.25">
      <c r="A753">
        <v>1581</v>
      </c>
      <c r="B753" t="s">
        <v>39</v>
      </c>
      <c r="C753" t="s">
        <v>2729</v>
      </c>
      <c r="D753" t="s">
        <v>219</v>
      </c>
      <c r="E753" s="5">
        <v>1342</v>
      </c>
      <c r="F753" t="s">
        <v>817</v>
      </c>
      <c r="G753">
        <v>19</v>
      </c>
      <c r="H753" t="s">
        <v>389</v>
      </c>
      <c r="I753" t="s">
        <v>2731</v>
      </c>
    </row>
    <row r="754" spans="1:18" x14ac:dyDescent="0.25">
      <c r="A754">
        <v>1581</v>
      </c>
      <c r="B754" t="s">
        <v>39</v>
      </c>
      <c r="C754" t="s">
        <v>2729</v>
      </c>
      <c r="D754" t="s">
        <v>219</v>
      </c>
      <c r="E754" s="5">
        <v>1342</v>
      </c>
      <c r="F754" t="s">
        <v>817</v>
      </c>
      <c r="G754">
        <v>19</v>
      </c>
      <c r="H754" t="s">
        <v>833</v>
      </c>
      <c r="I754" t="s">
        <v>2741</v>
      </c>
      <c r="J754" t="s">
        <v>2738</v>
      </c>
      <c r="R754" t="s">
        <v>463</v>
      </c>
    </row>
    <row r="755" spans="1:18" x14ac:dyDescent="0.25">
      <c r="A755">
        <v>1581</v>
      </c>
      <c r="B755" t="s">
        <v>39</v>
      </c>
      <c r="C755" t="s">
        <v>2729</v>
      </c>
      <c r="D755" t="s">
        <v>219</v>
      </c>
      <c r="E755" s="5">
        <v>1342</v>
      </c>
      <c r="F755" t="s">
        <v>817</v>
      </c>
      <c r="G755">
        <v>19</v>
      </c>
      <c r="H755" t="s">
        <v>2739</v>
      </c>
      <c r="I755" t="s">
        <v>2741</v>
      </c>
      <c r="J755" t="s">
        <v>2740</v>
      </c>
      <c r="K755" t="s">
        <v>2738</v>
      </c>
      <c r="R755" t="s">
        <v>463</v>
      </c>
    </row>
    <row r="756" spans="1:18" x14ac:dyDescent="0.25">
      <c r="A756">
        <v>1581</v>
      </c>
      <c r="B756" t="s">
        <v>39</v>
      </c>
      <c r="C756" t="s">
        <v>2729</v>
      </c>
      <c r="D756" t="s">
        <v>219</v>
      </c>
      <c r="E756" s="5">
        <v>1342</v>
      </c>
      <c r="F756" t="s">
        <v>817</v>
      </c>
      <c r="G756">
        <v>19</v>
      </c>
      <c r="H756" t="s">
        <v>645</v>
      </c>
      <c r="J756" t="s">
        <v>2743</v>
      </c>
      <c r="K756" t="s">
        <v>2744</v>
      </c>
      <c r="Q756" t="s">
        <v>2745</v>
      </c>
    </row>
    <row r="757" spans="1:18" x14ac:dyDescent="0.25">
      <c r="A757">
        <v>1581</v>
      </c>
      <c r="B757" t="s">
        <v>39</v>
      </c>
      <c r="C757" t="s">
        <v>2729</v>
      </c>
      <c r="D757" t="s">
        <v>219</v>
      </c>
      <c r="E757" s="5">
        <v>1342</v>
      </c>
      <c r="F757" t="s">
        <v>817</v>
      </c>
      <c r="G757">
        <v>19</v>
      </c>
      <c r="H757" t="s">
        <v>833</v>
      </c>
      <c r="K757" t="s">
        <v>2734</v>
      </c>
      <c r="L757" t="s">
        <v>2735</v>
      </c>
      <c r="Q757" t="s">
        <v>2736</v>
      </c>
    </row>
    <row r="758" spans="1:18" x14ac:dyDescent="0.25">
      <c r="A758">
        <v>1582</v>
      </c>
      <c r="B758" s="15" t="s">
        <v>17</v>
      </c>
      <c r="C758" t="s">
        <v>2018</v>
      </c>
      <c r="D758" t="s">
        <v>219</v>
      </c>
      <c r="E758" s="5">
        <v>1342</v>
      </c>
      <c r="F758" t="s">
        <v>817</v>
      </c>
      <c r="G758">
        <v>19</v>
      </c>
      <c r="H758" t="s">
        <v>645</v>
      </c>
      <c r="I758" t="s">
        <v>2760</v>
      </c>
    </row>
    <row r="759" spans="1:18" x14ac:dyDescent="0.25">
      <c r="A759">
        <v>1582</v>
      </c>
      <c r="B759" s="15" t="s">
        <v>17</v>
      </c>
      <c r="C759" t="s">
        <v>2018</v>
      </c>
      <c r="D759" t="s">
        <v>219</v>
      </c>
      <c r="E759" s="5">
        <v>1342</v>
      </c>
      <c r="F759" t="s">
        <v>817</v>
      </c>
      <c r="G759">
        <v>19</v>
      </c>
      <c r="H759" t="s">
        <v>645</v>
      </c>
      <c r="I759" t="s">
        <v>2028</v>
      </c>
    </row>
    <row r="760" spans="1:18" x14ac:dyDescent="0.25">
      <c r="A760">
        <v>1582</v>
      </c>
      <c r="B760" s="15" t="s">
        <v>17</v>
      </c>
      <c r="C760" t="s">
        <v>2018</v>
      </c>
      <c r="D760" t="s">
        <v>219</v>
      </c>
      <c r="E760" s="5">
        <v>1342</v>
      </c>
      <c r="F760" t="s">
        <v>817</v>
      </c>
      <c r="G760">
        <v>19</v>
      </c>
      <c r="H760" t="s">
        <v>645</v>
      </c>
      <c r="I760" t="s">
        <v>2028</v>
      </c>
    </row>
    <row r="761" spans="1:18" x14ac:dyDescent="0.25">
      <c r="A761">
        <v>1582</v>
      </c>
      <c r="B761" s="15" t="s">
        <v>17</v>
      </c>
      <c r="C761" t="s">
        <v>2018</v>
      </c>
      <c r="D761" t="s">
        <v>219</v>
      </c>
      <c r="E761" s="5">
        <v>1342</v>
      </c>
      <c r="F761" t="s">
        <v>817</v>
      </c>
      <c r="G761">
        <v>19</v>
      </c>
      <c r="H761" t="s">
        <v>645</v>
      </c>
      <c r="I761" t="s">
        <v>2759</v>
      </c>
    </row>
    <row r="762" spans="1:18" x14ac:dyDescent="0.25">
      <c r="A762">
        <v>1582</v>
      </c>
      <c r="B762" s="15" t="s">
        <v>17</v>
      </c>
      <c r="C762" t="s">
        <v>2018</v>
      </c>
      <c r="D762" t="s">
        <v>219</v>
      </c>
      <c r="E762" s="5">
        <v>1342</v>
      </c>
      <c r="F762" t="s">
        <v>817</v>
      </c>
      <c r="G762">
        <v>19</v>
      </c>
      <c r="H762" t="s">
        <v>645</v>
      </c>
      <c r="I762" t="s">
        <v>2758</v>
      </c>
    </row>
    <row r="763" spans="1:18" x14ac:dyDescent="0.25">
      <c r="A763">
        <v>1582</v>
      </c>
      <c r="B763" s="15" t="s">
        <v>17</v>
      </c>
      <c r="C763" t="s">
        <v>2018</v>
      </c>
      <c r="D763" t="s">
        <v>219</v>
      </c>
      <c r="E763" s="5">
        <v>1342</v>
      </c>
      <c r="F763" t="s">
        <v>817</v>
      </c>
      <c r="G763">
        <v>19</v>
      </c>
      <c r="H763" t="s">
        <v>645</v>
      </c>
      <c r="I763" t="s">
        <v>2163</v>
      </c>
    </row>
    <row r="764" spans="1:18" x14ac:dyDescent="0.25">
      <c r="A764">
        <v>1582</v>
      </c>
      <c r="B764" s="15" t="s">
        <v>17</v>
      </c>
      <c r="C764" t="s">
        <v>2018</v>
      </c>
      <c r="D764" t="s">
        <v>219</v>
      </c>
      <c r="E764" s="5">
        <v>1342</v>
      </c>
      <c r="F764" t="s">
        <v>817</v>
      </c>
      <c r="G764">
        <v>19</v>
      </c>
      <c r="H764" s="8" t="s">
        <v>398</v>
      </c>
      <c r="I764" t="s">
        <v>2764</v>
      </c>
    </row>
    <row r="765" spans="1:18" x14ac:dyDescent="0.25">
      <c r="A765">
        <v>1582</v>
      </c>
      <c r="B765" s="15" t="s">
        <v>17</v>
      </c>
      <c r="C765" t="s">
        <v>2018</v>
      </c>
      <c r="D765" t="s">
        <v>219</v>
      </c>
      <c r="E765" s="5">
        <v>1342</v>
      </c>
      <c r="F765" t="s">
        <v>817</v>
      </c>
      <c r="G765">
        <v>19</v>
      </c>
      <c r="H765" t="s">
        <v>764</v>
      </c>
      <c r="J765" t="s">
        <v>2020</v>
      </c>
    </row>
    <row r="766" spans="1:18" x14ac:dyDescent="0.25">
      <c r="A766">
        <v>1582</v>
      </c>
      <c r="B766" s="15" t="s">
        <v>17</v>
      </c>
      <c r="C766" t="s">
        <v>2018</v>
      </c>
      <c r="D766" t="s">
        <v>219</v>
      </c>
      <c r="E766" s="5">
        <v>1342</v>
      </c>
      <c r="F766" t="s">
        <v>817</v>
      </c>
      <c r="G766">
        <v>19</v>
      </c>
      <c r="H766" t="s">
        <v>833</v>
      </c>
      <c r="J766" t="s">
        <v>2765</v>
      </c>
      <c r="K766" t="s">
        <v>2767</v>
      </c>
      <c r="L766" t="s">
        <v>2765</v>
      </c>
    </row>
    <row r="767" spans="1:18" x14ac:dyDescent="0.25">
      <c r="A767">
        <v>1582</v>
      </c>
      <c r="B767" s="15" t="s">
        <v>17</v>
      </c>
      <c r="C767" t="s">
        <v>2018</v>
      </c>
      <c r="D767" t="s">
        <v>219</v>
      </c>
      <c r="E767" s="5">
        <v>1342</v>
      </c>
      <c r="F767" t="s">
        <v>817</v>
      </c>
      <c r="G767">
        <v>19</v>
      </c>
      <c r="H767" t="s">
        <v>488</v>
      </c>
      <c r="K767" t="s">
        <v>2757</v>
      </c>
    </row>
    <row r="768" spans="1:18" x14ac:dyDescent="0.25">
      <c r="A768">
        <v>1583</v>
      </c>
      <c r="B768" t="s">
        <v>43</v>
      </c>
      <c r="C768" t="s">
        <v>2018</v>
      </c>
      <c r="D768" t="s">
        <v>220</v>
      </c>
      <c r="E768" s="5">
        <v>1342</v>
      </c>
      <c r="F768" t="s">
        <v>817</v>
      </c>
      <c r="G768">
        <v>20</v>
      </c>
      <c r="H768" t="s">
        <v>645</v>
      </c>
      <c r="I768" t="s">
        <v>2775</v>
      </c>
    </row>
    <row r="769" spans="1:17" x14ac:dyDescent="0.25">
      <c r="A769">
        <v>1583</v>
      </c>
      <c r="B769" t="s">
        <v>43</v>
      </c>
      <c r="C769" t="s">
        <v>2018</v>
      </c>
      <c r="D769" t="s">
        <v>220</v>
      </c>
      <c r="E769" s="5">
        <v>1342</v>
      </c>
      <c r="F769" t="s">
        <v>817</v>
      </c>
      <c r="G769">
        <v>20</v>
      </c>
      <c r="H769" t="s">
        <v>645</v>
      </c>
      <c r="I769" t="s">
        <v>2773</v>
      </c>
    </row>
    <row r="770" spans="1:17" x14ac:dyDescent="0.25">
      <c r="A770">
        <v>1583</v>
      </c>
      <c r="B770" t="s">
        <v>43</v>
      </c>
      <c r="C770" t="s">
        <v>2018</v>
      </c>
      <c r="D770" t="s">
        <v>220</v>
      </c>
      <c r="E770" s="5">
        <v>1342</v>
      </c>
      <c r="F770" t="s">
        <v>817</v>
      </c>
      <c r="G770">
        <v>20</v>
      </c>
      <c r="H770" t="s">
        <v>645</v>
      </c>
      <c r="I770" t="s">
        <v>2774</v>
      </c>
    </row>
    <row r="771" spans="1:17" x14ac:dyDescent="0.25">
      <c r="A771">
        <v>1583</v>
      </c>
      <c r="B771" t="s">
        <v>43</v>
      </c>
      <c r="C771" t="s">
        <v>2018</v>
      </c>
      <c r="D771" t="s">
        <v>220</v>
      </c>
      <c r="E771" s="5">
        <v>1342</v>
      </c>
      <c r="F771" t="s">
        <v>817</v>
      </c>
      <c r="G771">
        <v>20</v>
      </c>
      <c r="H771" t="s">
        <v>645</v>
      </c>
      <c r="I771" t="s">
        <v>2772</v>
      </c>
    </row>
    <row r="772" spans="1:17" x14ac:dyDescent="0.25">
      <c r="A772">
        <v>1583</v>
      </c>
      <c r="B772" t="s">
        <v>43</v>
      </c>
      <c r="C772" t="s">
        <v>2018</v>
      </c>
      <c r="D772" t="s">
        <v>220</v>
      </c>
      <c r="E772" s="5">
        <v>1342</v>
      </c>
      <c r="F772" t="s">
        <v>817</v>
      </c>
      <c r="G772">
        <v>20</v>
      </c>
      <c r="H772" t="s">
        <v>1816</v>
      </c>
      <c r="I772" t="s">
        <v>2758</v>
      </c>
    </row>
    <row r="773" spans="1:17" x14ac:dyDescent="0.25">
      <c r="A773">
        <v>1583</v>
      </c>
      <c r="B773" t="s">
        <v>43</v>
      </c>
      <c r="C773" t="s">
        <v>2018</v>
      </c>
      <c r="D773" t="s">
        <v>220</v>
      </c>
      <c r="E773" s="5">
        <v>1342</v>
      </c>
      <c r="F773" t="s">
        <v>817</v>
      </c>
      <c r="G773">
        <v>20</v>
      </c>
      <c r="H773" t="s">
        <v>764</v>
      </c>
      <c r="J773" t="s">
        <v>2771</v>
      </c>
    </row>
    <row r="774" spans="1:17" x14ac:dyDescent="0.25">
      <c r="A774">
        <v>1591</v>
      </c>
      <c r="B774" t="s">
        <v>2623</v>
      </c>
      <c r="C774" t="s">
        <v>2782</v>
      </c>
      <c r="D774" t="s">
        <v>219</v>
      </c>
      <c r="E774" s="5">
        <v>1342</v>
      </c>
      <c r="F774" t="s">
        <v>817</v>
      </c>
      <c r="G774">
        <v>20</v>
      </c>
      <c r="H774" t="s">
        <v>292</v>
      </c>
      <c r="I774" t="s">
        <v>2792</v>
      </c>
      <c r="K774" t="s">
        <v>2793</v>
      </c>
      <c r="L774" t="s">
        <v>2794</v>
      </c>
      <c r="M774" t="s">
        <v>2795</v>
      </c>
      <c r="N774" t="s">
        <v>2796</v>
      </c>
      <c r="Q774" t="s">
        <v>2791</v>
      </c>
    </row>
    <row r="775" spans="1:17" x14ac:dyDescent="0.25">
      <c r="A775">
        <v>1591</v>
      </c>
      <c r="B775" t="s">
        <v>2623</v>
      </c>
      <c r="C775" t="s">
        <v>2782</v>
      </c>
      <c r="D775" t="s">
        <v>219</v>
      </c>
      <c r="E775" s="5">
        <v>1342</v>
      </c>
      <c r="F775" t="s">
        <v>817</v>
      </c>
      <c r="G775">
        <v>20</v>
      </c>
      <c r="H775" t="s">
        <v>206</v>
      </c>
      <c r="J775" t="s">
        <v>2788</v>
      </c>
      <c r="K775" t="s">
        <v>979</v>
      </c>
      <c r="L775" t="s">
        <v>2789</v>
      </c>
      <c r="M775" t="s">
        <v>2790</v>
      </c>
    </row>
    <row r="776" spans="1:17" x14ac:dyDescent="0.25">
      <c r="A776">
        <v>1591</v>
      </c>
      <c r="B776" t="s">
        <v>2623</v>
      </c>
      <c r="C776" t="s">
        <v>2782</v>
      </c>
      <c r="D776" t="s">
        <v>219</v>
      </c>
      <c r="E776" s="5">
        <v>1342</v>
      </c>
      <c r="F776" t="s">
        <v>817</v>
      </c>
      <c r="G776">
        <v>20</v>
      </c>
      <c r="H776" t="s">
        <v>389</v>
      </c>
      <c r="J776" t="s">
        <v>2781</v>
      </c>
    </row>
    <row r="777" spans="1:17" x14ac:dyDescent="0.25">
      <c r="A777">
        <v>1591</v>
      </c>
      <c r="B777" t="s">
        <v>2623</v>
      </c>
      <c r="C777" t="s">
        <v>2782</v>
      </c>
      <c r="D777" t="s">
        <v>219</v>
      </c>
      <c r="E777" s="5">
        <v>1342</v>
      </c>
      <c r="F777" t="s">
        <v>817</v>
      </c>
      <c r="G777">
        <v>20</v>
      </c>
      <c r="H777" t="s">
        <v>430</v>
      </c>
      <c r="J777" t="s">
        <v>2783</v>
      </c>
      <c r="K777" t="s">
        <v>2784</v>
      </c>
      <c r="L777" t="s">
        <v>2785</v>
      </c>
      <c r="M777" t="s">
        <v>380</v>
      </c>
    </row>
    <row r="778" spans="1:17" x14ac:dyDescent="0.25">
      <c r="A778">
        <v>1591</v>
      </c>
      <c r="B778" t="s">
        <v>2623</v>
      </c>
      <c r="C778" t="s">
        <v>2782</v>
      </c>
      <c r="D778" t="s">
        <v>219</v>
      </c>
      <c r="E778" s="5">
        <v>1342</v>
      </c>
      <c r="F778" t="s">
        <v>817</v>
      </c>
      <c r="G778">
        <v>20</v>
      </c>
      <c r="H778" s="8" t="s">
        <v>417</v>
      </c>
      <c r="J778" t="s">
        <v>2787</v>
      </c>
    </row>
    <row r="779" spans="1:17" x14ac:dyDescent="0.25">
      <c r="A779">
        <v>1591</v>
      </c>
      <c r="B779" t="s">
        <v>2623</v>
      </c>
      <c r="C779" t="s">
        <v>2782</v>
      </c>
      <c r="D779" t="s">
        <v>219</v>
      </c>
      <c r="E779" s="5">
        <v>1342</v>
      </c>
      <c r="F779" t="s">
        <v>817</v>
      </c>
      <c r="G779">
        <v>20</v>
      </c>
      <c r="H779" s="8" t="s">
        <v>398</v>
      </c>
      <c r="K779" t="s">
        <v>779</v>
      </c>
      <c r="L779" t="s">
        <v>2785</v>
      </c>
      <c r="M779" t="s">
        <v>380</v>
      </c>
    </row>
    <row r="780" spans="1:17" x14ac:dyDescent="0.25">
      <c r="A780">
        <v>1601</v>
      </c>
      <c r="B780" t="s">
        <v>50</v>
      </c>
      <c r="C780" t="s">
        <v>139</v>
      </c>
      <c r="D780" t="s">
        <v>219</v>
      </c>
      <c r="E780" s="5">
        <v>1342</v>
      </c>
      <c r="F780" t="s">
        <v>817</v>
      </c>
      <c r="G780">
        <v>20</v>
      </c>
      <c r="H780" t="s">
        <v>2816</v>
      </c>
      <c r="I780" t="s">
        <v>2817</v>
      </c>
    </row>
    <row r="781" spans="1:17" x14ac:dyDescent="0.25">
      <c r="A781">
        <v>1601</v>
      </c>
      <c r="B781" t="s">
        <v>50</v>
      </c>
      <c r="C781" t="s">
        <v>139</v>
      </c>
      <c r="D781" t="s">
        <v>219</v>
      </c>
      <c r="E781" s="5">
        <v>1342</v>
      </c>
      <c r="F781" t="s">
        <v>817</v>
      </c>
      <c r="G781">
        <v>20</v>
      </c>
      <c r="H781" t="s">
        <v>725</v>
      </c>
      <c r="I781" t="s">
        <v>2802</v>
      </c>
      <c r="K781" t="s">
        <v>2803</v>
      </c>
      <c r="L781" t="s">
        <v>2804</v>
      </c>
    </row>
    <row r="782" spans="1:17" x14ac:dyDescent="0.25">
      <c r="A782">
        <v>1601</v>
      </c>
      <c r="B782" t="s">
        <v>50</v>
      </c>
      <c r="C782" t="s">
        <v>139</v>
      </c>
      <c r="D782" t="s">
        <v>219</v>
      </c>
      <c r="E782" s="5">
        <v>1342</v>
      </c>
      <c r="F782" t="s">
        <v>817</v>
      </c>
      <c r="G782">
        <v>20</v>
      </c>
      <c r="H782" t="s">
        <v>2468</v>
      </c>
      <c r="I782" t="s">
        <v>2820</v>
      </c>
    </row>
    <row r="783" spans="1:17" x14ac:dyDescent="0.25">
      <c r="A783">
        <v>1601</v>
      </c>
      <c r="B783" t="s">
        <v>50</v>
      </c>
      <c r="C783" t="s">
        <v>139</v>
      </c>
      <c r="D783" t="s">
        <v>219</v>
      </c>
      <c r="E783" s="5">
        <v>1342</v>
      </c>
      <c r="F783" t="s">
        <v>817</v>
      </c>
      <c r="G783">
        <v>20</v>
      </c>
      <c r="H783" t="s">
        <v>725</v>
      </c>
      <c r="I783" t="s">
        <v>2821</v>
      </c>
      <c r="Q783" t="s">
        <v>2822</v>
      </c>
    </row>
    <row r="784" spans="1:17" x14ac:dyDescent="0.25">
      <c r="A784">
        <v>1601</v>
      </c>
      <c r="B784" t="s">
        <v>50</v>
      </c>
      <c r="C784" t="s">
        <v>139</v>
      </c>
      <c r="D784" t="s">
        <v>219</v>
      </c>
      <c r="E784" s="5">
        <v>1342</v>
      </c>
      <c r="F784" t="s">
        <v>817</v>
      </c>
      <c r="G784">
        <v>20</v>
      </c>
      <c r="H784" t="s">
        <v>469</v>
      </c>
      <c r="I784" t="s">
        <v>2823</v>
      </c>
      <c r="Q784" t="s">
        <v>2822</v>
      </c>
    </row>
    <row r="785" spans="1:12" x14ac:dyDescent="0.25">
      <c r="A785">
        <v>1601</v>
      </c>
      <c r="B785" t="s">
        <v>50</v>
      </c>
      <c r="C785" t="s">
        <v>139</v>
      </c>
      <c r="D785" t="s">
        <v>219</v>
      </c>
      <c r="E785" s="5">
        <v>1342</v>
      </c>
      <c r="F785" t="s">
        <v>817</v>
      </c>
      <c r="G785">
        <v>20</v>
      </c>
      <c r="H785" t="s">
        <v>725</v>
      </c>
      <c r="I785" t="s">
        <v>2812</v>
      </c>
      <c r="J785" t="s">
        <v>2813</v>
      </c>
      <c r="K785" t="s">
        <v>2814</v>
      </c>
      <c r="L785" t="s">
        <v>2815</v>
      </c>
    </row>
    <row r="786" spans="1:12" x14ac:dyDescent="0.25">
      <c r="A786">
        <v>1601</v>
      </c>
      <c r="B786" t="s">
        <v>50</v>
      </c>
      <c r="C786" t="s">
        <v>139</v>
      </c>
      <c r="D786" t="s">
        <v>219</v>
      </c>
      <c r="E786" s="5">
        <v>1342</v>
      </c>
      <c r="F786" t="s">
        <v>817</v>
      </c>
      <c r="G786">
        <v>20</v>
      </c>
      <c r="H786" t="s">
        <v>725</v>
      </c>
      <c r="I786" t="s">
        <v>2810</v>
      </c>
      <c r="K786" t="s">
        <v>2811</v>
      </c>
      <c r="L786" t="s">
        <v>2811</v>
      </c>
    </row>
    <row r="787" spans="1:12" x14ac:dyDescent="0.25">
      <c r="A787">
        <v>1601</v>
      </c>
      <c r="B787" t="s">
        <v>50</v>
      </c>
      <c r="C787" t="s">
        <v>139</v>
      </c>
      <c r="D787" t="s">
        <v>219</v>
      </c>
      <c r="E787" s="5">
        <v>1342</v>
      </c>
      <c r="F787" t="s">
        <v>817</v>
      </c>
      <c r="G787">
        <v>20</v>
      </c>
      <c r="H787" s="8" t="s">
        <v>398</v>
      </c>
      <c r="I787" t="s">
        <v>2810</v>
      </c>
      <c r="K787" t="s">
        <v>2811</v>
      </c>
      <c r="L787" t="s">
        <v>2811</v>
      </c>
    </row>
    <row r="788" spans="1:12" x14ac:dyDescent="0.25">
      <c r="A788">
        <v>1601</v>
      </c>
      <c r="B788" t="s">
        <v>50</v>
      </c>
      <c r="C788" t="s">
        <v>139</v>
      </c>
      <c r="D788" t="s">
        <v>219</v>
      </c>
      <c r="E788" s="5">
        <v>1342</v>
      </c>
      <c r="F788" t="s">
        <v>817</v>
      </c>
      <c r="G788">
        <v>20</v>
      </c>
      <c r="H788" s="8" t="s">
        <v>398</v>
      </c>
      <c r="I788" t="s">
        <v>2805</v>
      </c>
      <c r="K788" t="s">
        <v>2806</v>
      </c>
      <c r="L788" t="s">
        <v>2807</v>
      </c>
    </row>
    <row r="789" spans="1:12" x14ac:dyDescent="0.25">
      <c r="A789">
        <v>1601</v>
      </c>
      <c r="B789" t="s">
        <v>50</v>
      </c>
      <c r="C789" t="s">
        <v>139</v>
      </c>
      <c r="D789" t="s">
        <v>219</v>
      </c>
      <c r="E789" s="5">
        <v>1342</v>
      </c>
      <c r="F789" t="s">
        <v>817</v>
      </c>
      <c r="G789">
        <v>20</v>
      </c>
      <c r="H789" t="s">
        <v>679</v>
      </c>
      <c r="I789" t="s">
        <v>2805</v>
      </c>
      <c r="K789" t="s">
        <v>2806</v>
      </c>
      <c r="L789" t="s">
        <v>2807</v>
      </c>
    </row>
    <row r="790" spans="1:12" x14ac:dyDescent="0.25">
      <c r="A790">
        <v>1601</v>
      </c>
      <c r="B790" t="s">
        <v>50</v>
      </c>
      <c r="C790" t="s">
        <v>139</v>
      </c>
      <c r="D790" t="s">
        <v>219</v>
      </c>
      <c r="E790" s="5">
        <v>1342</v>
      </c>
      <c r="F790" t="s">
        <v>817</v>
      </c>
      <c r="G790">
        <v>20</v>
      </c>
      <c r="H790" t="s">
        <v>2818</v>
      </c>
      <c r="I790" t="s">
        <v>2805</v>
      </c>
    </row>
    <row r="791" spans="1:12" x14ac:dyDescent="0.25">
      <c r="A791">
        <v>1601</v>
      </c>
      <c r="B791" t="s">
        <v>50</v>
      </c>
      <c r="C791" t="s">
        <v>139</v>
      </c>
      <c r="D791" t="s">
        <v>219</v>
      </c>
      <c r="E791" s="5">
        <v>1342</v>
      </c>
      <c r="F791" t="s">
        <v>817</v>
      </c>
      <c r="G791">
        <v>20</v>
      </c>
      <c r="H791" t="s">
        <v>725</v>
      </c>
      <c r="I791" t="s">
        <v>2808</v>
      </c>
      <c r="K791" t="s">
        <v>2809</v>
      </c>
    </row>
    <row r="792" spans="1:12" x14ac:dyDescent="0.25">
      <c r="A792">
        <v>1601</v>
      </c>
      <c r="B792" t="s">
        <v>50</v>
      </c>
      <c r="C792" t="s">
        <v>139</v>
      </c>
      <c r="D792" t="s">
        <v>219</v>
      </c>
      <c r="E792" s="5">
        <v>1342</v>
      </c>
      <c r="F792" t="s">
        <v>817</v>
      </c>
      <c r="G792">
        <v>20</v>
      </c>
      <c r="H792" t="s">
        <v>2406</v>
      </c>
      <c r="I792" t="s">
        <v>2819</v>
      </c>
    </row>
    <row r="793" spans="1:12" x14ac:dyDescent="0.25">
      <c r="A793">
        <v>1611</v>
      </c>
      <c r="B793" t="s">
        <v>13</v>
      </c>
      <c r="C793" t="s">
        <v>2830</v>
      </c>
      <c r="D793" t="s">
        <v>219</v>
      </c>
      <c r="E793" s="5">
        <v>1343</v>
      </c>
      <c r="F793" t="s">
        <v>249</v>
      </c>
      <c r="G793">
        <v>4</v>
      </c>
      <c r="H793" t="s">
        <v>679</v>
      </c>
      <c r="I793" t="s">
        <v>2831</v>
      </c>
      <c r="J793" t="s">
        <v>2832</v>
      </c>
      <c r="K793" t="s">
        <v>2833</v>
      </c>
      <c r="L793" t="s">
        <v>2834</v>
      </c>
    </row>
    <row r="794" spans="1:12" x14ac:dyDescent="0.25">
      <c r="A794">
        <v>1611</v>
      </c>
      <c r="B794" t="s">
        <v>13</v>
      </c>
      <c r="C794" t="s">
        <v>2830</v>
      </c>
      <c r="D794" t="s">
        <v>219</v>
      </c>
      <c r="E794" s="5">
        <v>1343</v>
      </c>
      <c r="F794" t="s">
        <v>249</v>
      </c>
      <c r="G794">
        <v>4</v>
      </c>
      <c r="H794" t="s">
        <v>2840</v>
      </c>
      <c r="I794" t="s">
        <v>2853</v>
      </c>
      <c r="K794" t="s">
        <v>2854</v>
      </c>
    </row>
    <row r="795" spans="1:12" x14ac:dyDescent="0.25">
      <c r="A795">
        <v>1611</v>
      </c>
      <c r="B795" t="s">
        <v>13</v>
      </c>
      <c r="C795" t="s">
        <v>2830</v>
      </c>
      <c r="D795" t="s">
        <v>219</v>
      </c>
      <c r="E795" s="5">
        <v>1343</v>
      </c>
      <c r="F795" t="s">
        <v>249</v>
      </c>
      <c r="G795">
        <v>4</v>
      </c>
      <c r="H795" t="s">
        <v>2855</v>
      </c>
      <c r="I795" t="s">
        <v>2856</v>
      </c>
      <c r="K795" t="s">
        <v>2857</v>
      </c>
    </row>
    <row r="796" spans="1:12" x14ac:dyDescent="0.25">
      <c r="A796">
        <v>1611</v>
      </c>
      <c r="B796" t="s">
        <v>13</v>
      </c>
      <c r="C796" t="s">
        <v>2830</v>
      </c>
      <c r="D796" t="s">
        <v>219</v>
      </c>
      <c r="E796" s="5">
        <v>1343</v>
      </c>
      <c r="F796" t="s">
        <v>249</v>
      </c>
      <c r="G796">
        <v>4</v>
      </c>
      <c r="H796" t="s">
        <v>2849</v>
      </c>
      <c r="I796" t="s">
        <v>2850</v>
      </c>
      <c r="K796" t="s">
        <v>2851</v>
      </c>
      <c r="L796" t="s">
        <v>2852</v>
      </c>
    </row>
    <row r="797" spans="1:12" x14ac:dyDescent="0.25">
      <c r="A797">
        <v>1611</v>
      </c>
      <c r="B797" t="s">
        <v>13</v>
      </c>
      <c r="C797" t="s">
        <v>2830</v>
      </c>
      <c r="D797" t="s">
        <v>219</v>
      </c>
      <c r="E797" s="5">
        <v>1343</v>
      </c>
      <c r="F797" t="s">
        <v>249</v>
      </c>
      <c r="G797">
        <v>4</v>
      </c>
      <c r="H797" t="s">
        <v>2840</v>
      </c>
      <c r="I797" t="s">
        <v>2842</v>
      </c>
      <c r="J797" t="s">
        <v>2841</v>
      </c>
      <c r="K797" t="s">
        <v>2843</v>
      </c>
      <c r="L797" t="s">
        <v>2844</v>
      </c>
    </row>
    <row r="798" spans="1:12" x14ac:dyDescent="0.25">
      <c r="A798">
        <v>1611</v>
      </c>
      <c r="B798" t="s">
        <v>13</v>
      </c>
      <c r="C798" t="s">
        <v>2830</v>
      </c>
      <c r="D798" t="s">
        <v>219</v>
      </c>
      <c r="E798" s="5">
        <v>1343</v>
      </c>
      <c r="F798" t="s">
        <v>249</v>
      </c>
      <c r="G798">
        <v>4</v>
      </c>
      <c r="H798" t="s">
        <v>2845</v>
      </c>
      <c r="I798" t="s">
        <v>2846</v>
      </c>
      <c r="K798" t="s">
        <v>2847</v>
      </c>
      <c r="L798" t="s">
        <v>2848</v>
      </c>
    </row>
    <row r="799" spans="1:12" x14ac:dyDescent="0.25">
      <c r="A799">
        <v>1611</v>
      </c>
      <c r="B799" t="s">
        <v>13</v>
      </c>
      <c r="C799" t="s">
        <v>2830</v>
      </c>
      <c r="D799" t="s">
        <v>219</v>
      </c>
      <c r="E799" s="5">
        <v>1343</v>
      </c>
      <c r="F799" t="s">
        <v>249</v>
      </c>
      <c r="G799">
        <v>4</v>
      </c>
      <c r="H799" t="s">
        <v>725</v>
      </c>
      <c r="J799" t="s">
        <v>2837</v>
      </c>
      <c r="K799" t="s">
        <v>2838</v>
      </c>
      <c r="L799" t="s">
        <v>2839</v>
      </c>
    </row>
    <row r="800" spans="1:12" x14ac:dyDescent="0.25">
      <c r="A800">
        <v>1611</v>
      </c>
      <c r="B800" t="s">
        <v>13</v>
      </c>
      <c r="C800" t="s">
        <v>2830</v>
      </c>
      <c r="D800" t="s">
        <v>219</v>
      </c>
      <c r="E800" s="5">
        <v>1343</v>
      </c>
      <c r="F800" t="s">
        <v>249</v>
      </c>
      <c r="G800">
        <v>4</v>
      </c>
      <c r="H800" t="s">
        <v>679</v>
      </c>
      <c r="J800" t="s">
        <v>2835</v>
      </c>
      <c r="K800" t="s">
        <v>2836</v>
      </c>
    </row>
    <row r="801" spans="1:17" x14ac:dyDescent="0.25">
      <c r="A801">
        <v>1621</v>
      </c>
      <c r="B801" t="s">
        <v>2861</v>
      </c>
      <c r="C801" t="s">
        <v>2830</v>
      </c>
      <c r="D801" t="s">
        <v>219</v>
      </c>
      <c r="E801" s="5">
        <v>1343</v>
      </c>
      <c r="F801" t="s">
        <v>249</v>
      </c>
      <c r="G801">
        <v>4</v>
      </c>
      <c r="H801" t="s">
        <v>3873</v>
      </c>
      <c r="I801" t="s">
        <v>2862</v>
      </c>
      <c r="K801" t="s">
        <v>2863</v>
      </c>
      <c r="L801" t="s">
        <v>2864</v>
      </c>
      <c r="M801" t="s">
        <v>2865</v>
      </c>
      <c r="N801" t="s">
        <v>2866</v>
      </c>
    </row>
    <row r="802" spans="1:17" x14ac:dyDescent="0.25">
      <c r="A802">
        <v>1621</v>
      </c>
      <c r="B802" t="s">
        <v>2861</v>
      </c>
      <c r="C802" t="s">
        <v>2830</v>
      </c>
      <c r="D802" t="s">
        <v>219</v>
      </c>
      <c r="E802" s="5">
        <v>1343</v>
      </c>
      <c r="F802" t="s">
        <v>249</v>
      </c>
      <c r="G802">
        <v>4</v>
      </c>
      <c r="H802" t="s">
        <v>679</v>
      </c>
      <c r="I802" t="s">
        <v>2862</v>
      </c>
      <c r="K802" t="s">
        <v>2863</v>
      </c>
      <c r="L802" t="s">
        <v>2864</v>
      </c>
      <c r="M802" t="s">
        <v>2865</v>
      </c>
      <c r="N802" t="s">
        <v>2866</v>
      </c>
    </row>
    <row r="803" spans="1:17" x14ac:dyDescent="0.25">
      <c r="A803">
        <v>1621</v>
      </c>
      <c r="B803" t="s">
        <v>2861</v>
      </c>
      <c r="C803" t="s">
        <v>2830</v>
      </c>
      <c r="D803" t="s">
        <v>219</v>
      </c>
      <c r="E803" s="5">
        <v>1343</v>
      </c>
      <c r="F803" t="s">
        <v>249</v>
      </c>
      <c r="G803">
        <v>4</v>
      </c>
      <c r="H803" t="s">
        <v>2532</v>
      </c>
      <c r="I803" t="s">
        <v>2856</v>
      </c>
      <c r="K803" t="s">
        <v>2867</v>
      </c>
      <c r="L803" t="s">
        <v>2867</v>
      </c>
    </row>
    <row r="804" spans="1:17" x14ac:dyDescent="0.25">
      <c r="A804">
        <v>1622</v>
      </c>
      <c r="B804" t="s">
        <v>13</v>
      </c>
      <c r="C804" t="s">
        <v>2830</v>
      </c>
      <c r="D804" t="s">
        <v>219</v>
      </c>
      <c r="E804" s="5">
        <v>1343</v>
      </c>
      <c r="F804" t="s">
        <v>249</v>
      </c>
      <c r="G804">
        <v>4</v>
      </c>
      <c r="H804" t="s">
        <v>645</v>
      </c>
      <c r="J804" t="s">
        <v>2873</v>
      </c>
      <c r="K804" t="s">
        <v>2874</v>
      </c>
      <c r="L804" t="s">
        <v>2875</v>
      </c>
    </row>
    <row r="805" spans="1:17" x14ac:dyDescent="0.25">
      <c r="A805">
        <v>1622</v>
      </c>
      <c r="B805" t="s">
        <v>13</v>
      </c>
      <c r="C805" t="s">
        <v>2830</v>
      </c>
      <c r="D805" t="s">
        <v>219</v>
      </c>
      <c r="E805" s="5">
        <v>1343</v>
      </c>
      <c r="F805" t="s">
        <v>249</v>
      </c>
      <c r="G805">
        <v>4</v>
      </c>
      <c r="H805" t="s">
        <v>1683</v>
      </c>
      <c r="Q805" t="s">
        <v>2872</v>
      </c>
    </row>
    <row r="806" spans="1:17" x14ac:dyDescent="0.25">
      <c r="A806">
        <v>1623</v>
      </c>
      <c r="B806" t="s">
        <v>2114</v>
      </c>
      <c r="C806" t="s">
        <v>2830</v>
      </c>
      <c r="D806" t="s">
        <v>219</v>
      </c>
      <c r="E806" s="5">
        <v>1343</v>
      </c>
      <c r="F806" t="s">
        <v>249</v>
      </c>
      <c r="G806">
        <v>4</v>
      </c>
      <c r="H806" t="s">
        <v>1683</v>
      </c>
      <c r="J806" t="s">
        <v>2881</v>
      </c>
      <c r="K806" t="s">
        <v>2882</v>
      </c>
      <c r="L806" t="s">
        <v>2883</v>
      </c>
    </row>
    <row r="807" spans="1:17" x14ac:dyDescent="0.25">
      <c r="A807">
        <v>1631</v>
      </c>
      <c r="B807" t="s">
        <v>32</v>
      </c>
      <c r="C807" t="s">
        <v>1914</v>
      </c>
      <c r="D807" t="s">
        <v>219</v>
      </c>
      <c r="E807" s="5">
        <v>1343</v>
      </c>
      <c r="F807" t="s">
        <v>249</v>
      </c>
      <c r="G807">
        <v>4</v>
      </c>
      <c r="H807" t="s">
        <v>2532</v>
      </c>
      <c r="I807" t="s">
        <v>2903</v>
      </c>
      <c r="K807" t="s">
        <v>2851</v>
      </c>
      <c r="L807" t="s">
        <v>2904</v>
      </c>
    </row>
    <row r="808" spans="1:17" x14ac:dyDescent="0.25">
      <c r="A808">
        <v>1631</v>
      </c>
      <c r="B808" t="s">
        <v>32</v>
      </c>
      <c r="C808" t="s">
        <v>1914</v>
      </c>
      <c r="D808" t="s">
        <v>219</v>
      </c>
      <c r="E808" s="5">
        <v>1343</v>
      </c>
      <c r="F808" t="s">
        <v>249</v>
      </c>
      <c r="G808">
        <v>4</v>
      </c>
      <c r="H808" t="s">
        <v>2840</v>
      </c>
      <c r="I808" t="s">
        <v>2887</v>
      </c>
      <c r="J808" t="s">
        <v>2888</v>
      </c>
      <c r="K808" t="s">
        <v>2889</v>
      </c>
      <c r="L808" t="s">
        <v>2890</v>
      </c>
    </row>
    <row r="809" spans="1:17" x14ac:dyDescent="0.25">
      <c r="A809">
        <v>1631</v>
      </c>
      <c r="B809" t="s">
        <v>32</v>
      </c>
      <c r="C809" t="s">
        <v>1914</v>
      </c>
      <c r="D809" t="s">
        <v>219</v>
      </c>
      <c r="E809" s="5">
        <v>1343</v>
      </c>
      <c r="F809" t="s">
        <v>249</v>
      </c>
      <c r="G809">
        <v>4</v>
      </c>
      <c r="H809" t="s">
        <v>2532</v>
      </c>
      <c r="I809" t="s">
        <v>2856</v>
      </c>
      <c r="K809" t="s">
        <v>2891</v>
      </c>
      <c r="L809" t="s">
        <v>2892</v>
      </c>
    </row>
    <row r="810" spans="1:17" x14ac:dyDescent="0.25">
      <c r="A810">
        <v>1631</v>
      </c>
      <c r="B810" t="s">
        <v>32</v>
      </c>
      <c r="C810" t="s">
        <v>1914</v>
      </c>
      <c r="D810" t="s">
        <v>219</v>
      </c>
      <c r="E810" s="5">
        <v>1343</v>
      </c>
      <c r="F810" t="s">
        <v>249</v>
      </c>
      <c r="G810">
        <v>4</v>
      </c>
      <c r="H810" t="s">
        <v>2840</v>
      </c>
      <c r="I810" t="s">
        <v>2856</v>
      </c>
      <c r="K810" t="s">
        <v>2893</v>
      </c>
      <c r="L810" t="s">
        <v>2895</v>
      </c>
      <c r="M810" t="s">
        <v>2896</v>
      </c>
    </row>
    <row r="811" spans="1:17" x14ac:dyDescent="0.25">
      <c r="A811">
        <v>1631</v>
      </c>
      <c r="B811" t="s">
        <v>32</v>
      </c>
      <c r="C811" t="s">
        <v>1914</v>
      </c>
      <c r="D811" t="s">
        <v>219</v>
      </c>
      <c r="E811" s="5">
        <v>1343</v>
      </c>
      <c r="F811" t="s">
        <v>249</v>
      </c>
      <c r="G811">
        <v>4</v>
      </c>
      <c r="H811" t="s">
        <v>206</v>
      </c>
      <c r="I811" t="s">
        <v>2856</v>
      </c>
      <c r="K811" t="s">
        <v>2894</v>
      </c>
      <c r="L811" t="s">
        <v>2895</v>
      </c>
      <c r="M811" t="s">
        <v>2896</v>
      </c>
    </row>
    <row r="812" spans="1:17" x14ac:dyDescent="0.25">
      <c r="A812">
        <v>1631</v>
      </c>
      <c r="B812" t="s">
        <v>32</v>
      </c>
      <c r="C812" t="s">
        <v>1914</v>
      </c>
      <c r="D812" t="s">
        <v>219</v>
      </c>
      <c r="E812" s="5">
        <v>1343</v>
      </c>
      <c r="F812" t="s">
        <v>249</v>
      </c>
      <c r="G812">
        <v>4</v>
      </c>
      <c r="H812" t="s">
        <v>2897</v>
      </c>
      <c r="J812" t="s">
        <v>2898</v>
      </c>
      <c r="K812" t="s">
        <v>2899</v>
      </c>
      <c r="L812" t="s">
        <v>2900</v>
      </c>
    </row>
    <row r="813" spans="1:17" x14ac:dyDescent="0.25">
      <c r="A813">
        <v>1631</v>
      </c>
      <c r="B813" t="s">
        <v>32</v>
      </c>
      <c r="C813" t="s">
        <v>1914</v>
      </c>
      <c r="D813" t="s">
        <v>219</v>
      </c>
      <c r="E813" s="5">
        <v>1343</v>
      </c>
      <c r="F813" t="s">
        <v>249</v>
      </c>
      <c r="G813">
        <v>4</v>
      </c>
      <c r="H813" t="s">
        <v>206</v>
      </c>
      <c r="J813" t="s">
        <v>2898</v>
      </c>
      <c r="K813" t="s">
        <v>2899</v>
      </c>
      <c r="L813" t="s">
        <v>2900</v>
      </c>
    </row>
    <row r="814" spans="1:17" x14ac:dyDescent="0.25">
      <c r="A814">
        <v>1631</v>
      </c>
      <c r="B814" t="s">
        <v>32</v>
      </c>
      <c r="C814" t="s">
        <v>1914</v>
      </c>
      <c r="D814" t="s">
        <v>219</v>
      </c>
      <c r="E814" s="5">
        <v>1343</v>
      </c>
      <c r="F814" t="s">
        <v>249</v>
      </c>
      <c r="G814">
        <v>4</v>
      </c>
      <c r="H814" t="s">
        <v>2532</v>
      </c>
      <c r="K814" t="s">
        <v>2901</v>
      </c>
      <c r="L814" t="s">
        <v>629</v>
      </c>
      <c r="M814" t="s">
        <v>2847</v>
      </c>
      <c r="N814" t="s">
        <v>2902</v>
      </c>
    </row>
    <row r="815" spans="1:17" x14ac:dyDescent="0.25">
      <c r="A815">
        <v>1641</v>
      </c>
      <c r="B815" t="s">
        <v>13</v>
      </c>
      <c r="C815" t="s">
        <v>1914</v>
      </c>
      <c r="D815" t="s">
        <v>219</v>
      </c>
      <c r="E815" s="5">
        <v>1343</v>
      </c>
      <c r="F815" t="s">
        <v>249</v>
      </c>
      <c r="G815">
        <v>4</v>
      </c>
      <c r="H815" t="s">
        <v>645</v>
      </c>
      <c r="I815" t="s">
        <v>2914</v>
      </c>
      <c r="K815" t="s">
        <v>2915</v>
      </c>
      <c r="L815" t="s">
        <v>2916</v>
      </c>
    </row>
    <row r="816" spans="1:17" x14ac:dyDescent="0.25">
      <c r="A816">
        <v>1641</v>
      </c>
      <c r="B816" t="s">
        <v>13</v>
      </c>
      <c r="C816" t="s">
        <v>1914</v>
      </c>
      <c r="D816" t="s">
        <v>219</v>
      </c>
      <c r="E816" s="5">
        <v>1343</v>
      </c>
      <c r="F816" t="s">
        <v>249</v>
      </c>
      <c r="G816">
        <v>4</v>
      </c>
      <c r="H816" s="8" t="s">
        <v>398</v>
      </c>
      <c r="I816" t="s">
        <v>1108</v>
      </c>
      <c r="J816" t="s">
        <v>2928</v>
      </c>
      <c r="K816" t="s">
        <v>2926</v>
      </c>
      <c r="L816" t="s">
        <v>2927</v>
      </c>
    </row>
    <row r="817" spans="1:17" x14ac:dyDescent="0.25">
      <c r="A817">
        <v>1641</v>
      </c>
      <c r="B817" t="s">
        <v>13</v>
      </c>
      <c r="C817" t="s">
        <v>1914</v>
      </c>
      <c r="D817" t="s">
        <v>219</v>
      </c>
      <c r="E817" s="5">
        <v>1343</v>
      </c>
      <c r="F817" t="s">
        <v>249</v>
      </c>
      <c r="G817">
        <v>4</v>
      </c>
      <c r="H817" t="s">
        <v>1683</v>
      </c>
      <c r="I817" t="s">
        <v>2908</v>
      </c>
      <c r="J817" t="s">
        <v>2909</v>
      </c>
      <c r="K817" t="s">
        <v>2910</v>
      </c>
      <c r="L817" t="s">
        <v>2911</v>
      </c>
    </row>
    <row r="818" spans="1:17" x14ac:dyDescent="0.25">
      <c r="A818">
        <v>1641</v>
      </c>
      <c r="B818" t="s">
        <v>13</v>
      </c>
      <c r="C818" t="s">
        <v>1914</v>
      </c>
      <c r="D818" t="s">
        <v>219</v>
      </c>
      <c r="E818" s="5">
        <v>1343</v>
      </c>
      <c r="F818" t="s">
        <v>249</v>
      </c>
      <c r="G818">
        <v>4</v>
      </c>
      <c r="H818" t="s">
        <v>488</v>
      </c>
      <c r="J818" t="s">
        <v>2923</v>
      </c>
    </row>
    <row r="819" spans="1:17" x14ac:dyDescent="0.25">
      <c r="A819">
        <v>1641</v>
      </c>
      <c r="B819" t="s">
        <v>13</v>
      </c>
      <c r="C819" t="s">
        <v>1914</v>
      </c>
      <c r="D819" t="s">
        <v>219</v>
      </c>
      <c r="E819" s="5">
        <v>1343</v>
      </c>
      <c r="F819" t="s">
        <v>249</v>
      </c>
      <c r="G819">
        <v>4</v>
      </c>
      <c r="H819" t="s">
        <v>645</v>
      </c>
      <c r="J819" t="s">
        <v>2909</v>
      </c>
      <c r="K819" t="s">
        <v>2918</v>
      </c>
      <c r="L819" t="s">
        <v>2917</v>
      </c>
    </row>
    <row r="820" spans="1:17" x14ac:dyDescent="0.25">
      <c r="A820">
        <v>1641</v>
      </c>
      <c r="B820" t="s">
        <v>13</v>
      </c>
      <c r="C820" t="s">
        <v>1914</v>
      </c>
      <c r="D820" t="s">
        <v>219</v>
      </c>
      <c r="E820" s="5">
        <v>1343</v>
      </c>
      <c r="F820" t="s">
        <v>249</v>
      </c>
      <c r="G820">
        <v>4</v>
      </c>
      <c r="H820" t="s">
        <v>1816</v>
      </c>
      <c r="J820" t="s">
        <v>2909</v>
      </c>
      <c r="K820" t="s">
        <v>2919</v>
      </c>
      <c r="L820" t="s">
        <v>2920</v>
      </c>
    </row>
    <row r="821" spans="1:17" x14ac:dyDescent="0.25">
      <c r="A821">
        <v>1641</v>
      </c>
      <c r="B821" t="s">
        <v>13</v>
      </c>
      <c r="C821" t="s">
        <v>1914</v>
      </c>
      <c r="D821" t="s">
        <v>219</v>
      </c>
      <c r="E821" s="5">
        <v>1343</v>
      </c>
      <c r="F821" t="s">
        <v>249</v>
      </c>
      <c r="G821">
        <v>4</v>
      </c>
      <c r="H821" t="s">
        <v>1683</v>
      </c>
      <c r="J821" t="s">
        <v>2924</v>
      </c>
      <c r="K821" t="s">
        <v>2925</v>
      </c>
    </row>
    <row r="822" spans="1:17" x14ac:dyDescent="0.25">
      <c r="A822">
        <v>1641</v>
      </c>
      <c r="B822" t="s">
        <v>13</v>
      </c>
      <c r="C822" t="s">
        <v>1914</v>
      </c>
      <c r="D822" t="s">
        <v>219</v>
      </c>
      <c r="E822" s="5">
        <v>1343</v>
      </c>
      <c r="F822" t="s">
        <v>249</v>
      </c>
      <c r="G822">
        <v>4</v>
      </c>
      <c r="H822" t="s">
        <v>645</v>
      </c>
      <c r="J822" t="s">
        <v>2912</v>
      </c>
      <c r="K822" t="s">
        <v>2811</v>
      </c>
      <c r="L822" t="s">
        <v>2913</v>
      </c>
    </row>
    <row r="823" spans="1:17" x14ac:dyDescent="0.25">
      <c r="A823">
        <v>1641</v>
      </c>
      <c r="B823" t="s">
        <v>13</v>
      </c>
      <c r="C823" t="s">
        <v>1914</v>
      </c>
      <c r="D823" t="s">
        <v>219</v>
      </c>
      <c r="E823" s="5">
        <v>1343</v>
      </c>
      <c r="F823" t="s">
        <v>249</v>
      </c>
      <c r="G823">
        <v>4</v>
      </c>
      <c r="H823" s="8" t="s">
        <v>398</v>
      </c>
      <c r="J823" t="s">
        <v>2928</v>
      </c>
      <c r="K823" t="s">
        <v>2929</v>
      </c>
      <c r="L823" t="s">
        <v>2930</v>
      </c>
    </row>
    <row r="824" spans="1:17" x14ac:dyDescent="0.25">
      <c r="A824">
        <v>1641</v>
      </c>
      <c r="B824" t="s">
        <v>13</v>
      </c>
      <c r="C824" t="s">
        <v>1914</v>
      </c>
      <c r="D824" t="s">
        <v>219</v>
      </c>
      <c r="E824" s="5">
        <v>1343</v>
      </c>
      <c r="F824" t="s">
        <v>249</v>
      </c>
      <c r="G824">
        <v>4</v>
      </c>
      <c r="H824" t="s">
        <v>1153</v>
      </c>
      <c r="J824" t="s">
        <v>2931</v>
      </c>
      <c r="K824" t="s">
        <v>2933</v>
      </c>
      <c r="L824" t="s">
        <v>2934</v>
      </c>
      <c r="M824" t="s">
        <v>2935</v>
      </c>
      <c r="Q824" t="s">
        <v>2932</v>
      </c>
    </row>
    <row r="825" spans="1:17" x14ac:dyDescent="0.25">
      <c r="A825">
        <v>1641</v>
      </c>
      <c r="B825" t="s">
        <v>13</v>
      </c>
      <c r="C825" t="s">
        <v>1914</v>
      </c>
      <c r="D825" t="s">
        <v>219</v>
      </c>
      <c r="E825" s="5">
        <v>1343</v>
      </c>
      <c r="F825" t="s">
        <v>249</v>
      </c>
      <c r="G825">
        <v>4</v>
      </c>
      <c r="H825" t="s">
        <v>488</v>
      </c>
      <c r="J825" t="s">
        <v>2921</v>
      </c>
      <c r="K825" t="s">
        <v>2922</v>
      </c>
    </row>
    <row r="826" spans="1:17" x14ac:dyDescent="0.25">
      <c r="A826">
        <v>1651</v>
      </c>
      <c r="B826" t="s">
        <v>23</v>
      </c>
      <c r="C826" t="s">
        <v>2940</v>
      </c>
      <c r="D826" t="s">
        <v>219</v>
      </c>
      <c r="E826" s="5">
        <v>1343</v>
      </c>
      <c r="F826" t="s">
        <v>249</v>
      </c>
      <c r="G826">
        <v>4</v>
      </c>
      <c r="H826" t="s">
        <v>1683</v>
      </c>
      <c r="J826" t="s">
        <v>2941</v>
      </c>
      <c r="K826" t="s">
        <v>2946</v>
      </c>
      <c r="L826" t="s">
        <v>1100</v>
      </c>
      <c r="M826" t="s">
        <v>2942</v>
      </c>
      <c r="N826" t="s">
        <v>2943</v>
      </c>
      <c r="O826" t="s">
        <v>2944</v>
      </c>
    </row>
    <row r="827" spans="1:17" x14ac:dyDescent="0.25">
      <c r="A827">
        <v>1651</v>
      </c>
      <c r="B827" t="s">
        <v>23</v>
      </c>
      <c r="C827" t="s">
        <v>2940</v>
      </c>
      <c r="D827" t="s">
        <v>219</v>
      </c>
      <c r="E827" s="5">
        <v>1343</v>
      </c>
      <c r="F827" t="s">
        <v>249</v>
      </c>
      <c r="G827">
        <v>4</v>
      </c>
      <c r="H827" t="s">
        <v>1683</v>
      </c>
      <c r="J827" t="s">
        <v>2948</v>
      </c>
      <c r="K827" t="s">
        <v>2949</v>
      </c>
      <c r="L827" t="s">
        <v>2949</v>
      </c>
    </row>
    <row r="828" spans="1:17" x14ac:dyDescent="0.25">
      <c r="A828">
        <v>1651</v>
      </c>
      <c r="B828" t="s">
        <v>23</v>
      </c>
      <c r="C828" t="s">
        <v>2940</v>
      </c>
      <c r="D828" t="s">
        <v>219</v>
      </c>
      <c r="E828" s="5">
        <v>1343</v>
      </c>
      <c r="F828" t="s">
        <v>249</v>
      </c>
      <c r="G828">
        <v>4</v>
      </c>
      <c r="H828" s="8" t="s">
        <v>417</v>
      </c>
      <c r="K828" t="s">
        <v>2947</v>
      </c>
      <c r="L828" t="s">
        <v>1100</v>
      </c>
      <c r="M828" t="s">
        <v>2942</v>
      </c>
      <c r="N828" t="s">
        <v>2943</v>
      </c>
      <c r="O828" t="s">
        <v>2944</v>
      </c>
    </row>
    <row r="829" spans="1:17" x14ac:dyDescent="0.25">
      <c r="A829">
        <v>1651</v>
      </c>
      <c r="B829" t="s">
        <v>23</v>
      </c>
      <c r="C829" t="s">
        <v>2940</v>
      </c>
      <c r="D829" t="s">
        <v>219</v>
      </c>
      <c r="E829" s="5">
        <v>1343</v>
      </c>
      <c r="F829" t="s">
        <v>249</v>
      </c>
      <c r="G829">
        <v>4</v>
      </c>
      <c r="H829" s="8" t="s">
        <v>398</v>
      </c>
      <c r="K829" t="s">
        <v>2946</v>
      </c>
      <c r="L829" t="s">
        <v>2945</v>
      </c>
      <c r="M829" t="s">
        <v>2942</v>
      </c>
      <c r="N829" t="s">
        <v>2943</v>
      </c>
      <c r="O829" t="s">
        <v>2944</v>
      </c>
    </row>
    <row r="830" spans="1:17" x14ac:dyDescent="0.25">
      <c r="A830">
        <v>1661</v>
      </c>
      <c r="B830" t="s">
        <v>2952</v>
      </c>
      <c r="C830" t="s">
        <v>2940</v>
      </c>
      <c r="D830" t="s">
        <v>220</v>
      </c>
      <c r="E830" s="5">
        <v>1343</v>
      </c>
      <c r="F830" t="s">
        <v>249</v>
      </c>
      <c r="G830">
        <v>4</v>
      </c>
      <c r="H830" t="s">
        <v>1683</v>
      </c>
      <c r="J830" t="s">
        <v>2941</v>
      </c>
      <c r="K830" t="s">
        <v>2946</v>
      </c>
      <c r="L830" t="s">
        <v>2955</v>
      </c>
      <c r="M830" t="s">
        <v>2957</v>
      </c>
      <c r="N830" t="s">
        <v>2958</v>
      </c>
    </row>
    <row r="831" spans="1:17" x14ac:dyDescent="0.25">
      <c r="A831">
        <v>1661</v>
      </c>
      <c r="B831" t="s">
        <v>2952</v>
      </c>
      <c r="C831" t="s">
        <v>2940</v>
      </c>
      <c r="D831" t="s">
        <v>220</v>
      </c>
      <c r="E831" s="5">
        <v>1343</v>
      </c>
      <c r="F831" t="s">
        <v>249</v>
      </c>
      <c r="G831">
        <v>4</v>
      </c>
      <c r="H831" s="8" t="s">
        <v>417</v>
      </c>
      <c r="J831" t="s">
        <v>2941</v>
      </c>
      <c r="K831" t="s">
        <v>2955</v>
      </c>
      <c r="L831" t="s">
        <v>2956</v>
      </c>
      <c r="M831" t="s">
        <v>2957</v>
      </c>
      <c r="N831" t="s">
        <v>2958</v>
      </c>
    </row>
    <row r="832" spans="1:17" x14ac:dyDescent="0.25">
      <c r="A832">
        <v>1661</v>
      </c>
      <c r="B832" t="s">
        <v>2952</v>
      </c>
      <c r="C832" t="s">
        <v>2940</v>
      </c>
      <c r="D832" t="s">
        <v>220</v>
      </c>
      <c r="E832" s="5">
        <v>1343</v>
      </c>
      <c r="F832" t="s">
        <v>249</v>
      </c>
      <c r="G832">
        <v>4</v>
      </c>
      <c r="H832" t="s">
        <v>679</v>
      </c>
      <c r="J832" t="s">
        <v>2941</v>
      </c>
      <c r="K832" t="s">
        <v>2946</v>
      </c>
      <c r="L832" t="s">
        <v>2956</v>
      </c>
      <c r="M832" t="s">
        <v>2957</v>
      </c>
      <c r="N832" t="s">
        <v>2958</v>
      </c>
    </row>
    <row r="833" spans="1:12" x14ac:dyDescent="0.25">
      <c r="A833">
        <v>1661</v>
      </c>
      <c r="B833" t="s">
        <v>2952</v>
      </c>
      <c r="C833" t="s">
        <v>2940</v>
      </c>
      <c r="D833" t="s">
        <v>220</v>
      </c>
      <c r="E833" s="5">
        <v>1343</v>
      </c>
      <c r="F833" t="s">
        <v>249</v>
      </c>
      <c r="G833">
        <v>4</v>
      </c>
      <c r="H833" t="s">
        <v>1683</v>
      </c>
      <c r="J833" t="s">
        <v>2964</v>
      </c>
      <c r="K833" t="s">
        <v>2965</v>
      </c>
      <c r="L833" t="s">
        <v>2966</v>
      </c>
    </row>
    <row r="834" spans="1:12" x14ac:dyDescent="0.25">
      <c r="A834">
        <v>1661</v>
      </c>
      <c r="B834" t="s">
        <v>2952</v>
      </c>
      <c r="C834" t="s">
        <v>2940</v>
      </c>
      <c r="D834" t="s">
        <v>220</v>
      </c>
      <c r="E834" s="5">
        <v>1343</v>
      </c>
      <c r="F834" t="s">
        <v>249</v>
      </c>
      <c r="G834">
        <v>4</v>
      </c>
      <c r="H834" t="s">
        <v>645</v>
      </c>
      <c r="J834" t="s">
        <v>2962</v>
      </c>
      <c r="K834" t="s">
        <v>2961</v>
      </c>
      <c r="L834" t="s">
        <v>2963</v>
      </c>
    </row>
    <row r="835" spans="1:12" x14ac:dyDescent="0.25">
      <c r="A835">
        <v>1661</v>
      </c>
      <c r="B835" t="s">
        <v>2952</v>
      </c>
      <c r="C835" t="s">
        <v>2940</v>
      </c>
      <c r="D835" t="s">
        <v>220</v>
      </c>
      <c r="E835" s="5">
        <v>1343</v>
      </c>
      <c r="F835" t="s">
        <v>249</v>
      </c>
      <c r="G835">
        <v>4</v>
      </c>
      <c r="H835" t="s">
        <v>1683</v>
      </c>
      <c r="J835" t="s">
        <v>2959</v>
      </c>
      <c r="K835" t="s">
        <v>2960</v>
      </c>
      <c r="L835" t="s">
        <v>2961</v>
      </c>
    </row>
    <row r="836" spans="1:12" x14ac:dyDescent="0.25">
      <c r="A836">
        <v>1671</v>
      </c>
      <c r="B836" t="s">
        <v>37</v>
      </c>
      <c r="C836" t="s">
        <v>2940</v>
      </c>
      <c r="D836" t="s">
        <v>220</v>
      </c>
      <c r="E836" s="5">
        <v>1343</v>
      </c>
      <c r="F836" t="s">
        <v>249</v>
      </c>
      <c r="G836">
        <v>4</v>
      </c>
      <c r="H836" t="s">
        <v>1683</v>
      </c>
      <c r="J836" t="s">
        <v>2971</v>
      </c>
      <c r="K836" t="s">
        <v>2972</v>
      </c>
      <c r="L836" t="s">
        <v>2973</v>
      </c>
    </row>
    <row r="837" spans="1:12" x14ac:dyDescent="0.25">
      <c r="A837">
        <v>1671</v>
      </c>
      <c r="B837" t="s">
        <v>37</v>
      </c>
      <c r="C837" t="s">
        <v>2940</v>
      </c>
      <c r="D837" t="s">
        <v>220</v>
      </c>
      <c r="E837" s="5">
        <v>1343</v>
      </c>
      <c r="F837" t="s">
        <v>249</v>
      </c>
      <c r="G837">
        <v>4</v>
      </c>
      <c r="H837" t="s">
        <v>292</v>
      </c>
      <c r="J837" t="s">
        <v>2971</v>
      </c>
      <c r="K837" t="s">
        <v>2972</v>
      </c>
      <c r="L837" t="s">
        <v>2973</v>
      </c>
    </row>
    <row r="838" spans="1:12" x14ac:dyDescent="0.25">
      <c r="A838">
        <v>1671</v>
      </c>
      <c r="B838" t="s">
        <v>37</v>
      </c>
      <c r="C838" t="s">
        <v>2940</v>
      </c>
      <c r="D838" t="s">
        <v>220</v>
      </c>
      <c r="E838" s="5">
        <v>1343</v>
      </c>
      <c r="F838" t="s">
        <v>249</v>
      </c>
      <c r="G838">
        <v>4</v>
      </c>
      <c r="H838" t="s">
        <v>206</v>
      </c>
      <c r="J838" t="s">
        <v>2971</v>
      </c>
      <c r="K838" t="s">
        <v>2972</v>
      </c>
      <c r="L838" t="s">
        <v>2973</v>
      </c>
    </row>
    <row r="839" spans="1:12" x14ac:dyDescent="0.25">
      <c r="A839">
        <v>1671</v>
      </c>
      <c r="B839" t="s">
        <v>37</v>
      </c>
      <c r="C839" t="s">
        <v>2940</v>
      </c>
      <c r="D839" t="s">
        <v>220</v>
      </c>
      <c r="E839" s="5">
        <v>1343</v>
      </c>
      <c r="F839" t="s">
        <v>249</v>
      </c>
      <c r="G839">
        <v>4</v>
      </c>
      <c r="H839" t="s">
        <v>1683</v>
      </c>
      <c r="J839" t="s">
        <v>2971</v>
      </c>
      <c r="K839" t="s">
        <v>2974</v>
      </c>
      <c r="L839" t="s">
        <v>2965</v>
      </c>
    </row>
    <row r="840" spans="1:12" x14ac:dyDescent="0.25">
      <c r="A840">
        <v>1671</v>
      </c>
      <c r="B840" t="s">
        <v>37</v>
      </c>
      <c r="C840" t="s">
        <v>2940</v>
      </c>
      <c r="D840" t="s">
        <v>220</v>
      </c>
      <c r="E840" s="5">
        <v>1343</v>
      </c>
      <c r="F840" t="s">
        <v>249</v>
      </c>
      <c r="G840">
        <v>4</v>
      </c>
      <c r="H840" t="s">
        <v>645</v>
      </c>
      <c r="J840" t="s">
        <v>2975</v>
      </c>
      <c r="K840" t="s">
        <v>2976</v>
      </c>
      <c r="L840" t="s">
        <v>2977</v>
      </c>
    </row>
    <row r="841" spans="1:12" x14ac:dyDescent="0.25">
      <c r="A841">
        <v>1671</v>
      </c>
      <c r="B841" t="s">
        <v>37</v>
      </c>
      <c r="C841" t="s">
        <v>2940</v>
      </c>
      <c r="D841" t="s">
        <v>220</v>
      </c>
      <c r="E841" s="5">
        <v>1343</v>
      </c>
      <c r="F841" t="s">
        <v>249</v>
      </c>
      <c r="G841">
        <v>4</v>
      </c>
      <c r="H841" t="s">
        <v>227</v>
      </c>
      <c r="J841" t="s">
        <v>2975</v>
      </c>
      <c r="K841" t="s">
        <v>2976</v>
      </c>
      <c r="L841" t="s">
        <v>2977</v>
      </c>
    </row>
    <row r="842" spans="1:12" x14ac:dyDescent="0.25">
      <c r="A842">
        <v>1671</v>
      </c>
      <c r="B842" t="s">
        <v>37</v>
      </c>
      <c r="C842" t="s">
        <v>2940</v>
      </c>
      <c r="D842" t="s">
        <v>220</v>
      </c>
      <c r="E842" s="5">
        <v>1343</v>
      </c>
      <c r="F842" t="s">
        <v>249</v>
      </c>
      <c r="G842">
        <v>4</v>
      </c>
      <c r="H842" t="s">
        <v>292</v>
      </c>
      <c r="J842" t="s">
        <v>2975</v>
      </c>
      <c r="K842" t="s">
        <v>2976</v>
      </c>
      <c r="L842" t="s">
        <v>2977</v>
      </c>
    </row>
    <row r="843" spans="1:12" x14ac:dyDescent="0.25">
      <c r="A843">
        <v>1671</v>
      </c>
      <c r="B843" t="s">
        <v>37</v>
      </c>
      <c r="C843" t="s">
        <v>2940</v>
      </c>
      <c r="D843" t="s">
        <v>220</v>
      </c>
      <c r="E843" s="5">
        <v>1343</v>
      </c>
      <c r="F843" t="s">
        <v>249</v>
      </c>
      <c r="G843">
        <v>4</v>
      </c>
      <c r="H843" t="s">
        <v>1683</v>
      </c>
      <c r="J843" t="s">
        <v>2959</v>
      </c>
      <c r="K843" t="s">
        <v>2978</v>
      </c>
      <c r="L843" t="s">
        <v>2963</v>
      </c>
    </row>
    <row r="844" spans="1:12" x14ac:dyDescent="0.25">
      <c r="A844">
        <v>1681</v>
      </c>
      <c r="B844" t="s">
        <v>19</v>
      </c>
      <c r="C844" t="s">
        <v>2830</v>
      </c>
      <c r="D844" t="s">
        <v>219</v>
      </c>
      <c r="E844" s="5">
        <v>1343</v>
      </c>
      <c r="F844" t="s">
        <v>249</v>
      </c>
      <c r="G844">
        <v>16</v>
      </c>
      <c r="H844" t="s">
        <v>329</v>
      </c>
      <c r="I844" t="s">
        <v>2990</v>
      </c>
      <c r="K844" t="s">
        <v>2991</v>
      </c>
      <c r="L844" t="s">
        <v>2992</v>
      </c>
    </row>
    <row r="845" spans="1:12" x14ac:dyDescent="0.25">
      <c r="A845">
        <v>1681</v>
      </c>
      <c r="B845" t="s">
        <v>19</v>
      </c>
      <c r="C845" t="s">
        <v>2830</v>
      </c>
      <c r="D845" t="s">
        <v>219</v>
      </c>
      <c r="E845" s="5">
        <v>1343</v>
      </c>
      <c r="F845" t="s">
        <v>249</v>
      </c>
      <c r="G845">
        <v>16</v>
      </c>
      <c r="H845" s="8" t="s">
        <v>398</v>
      </c>
      <c r="I845" t="s">
        <v>2981</v>
      </c>
      <c r="K845" t="s">
        <v>2982</v>
      </c>
    </row>
    <row r="846" spans="1:12" x14ac:dyDescent="0.25">
      <c r="A846">
        <v>1681</v>
      </c>
      <c r="B846" t="s">
        <v>19</v>
      </c>
      <c r="C846" t="s">
        <v>2830</v>
      </c>
      <c r="D846" t="s">
        <v>219</v>
      </c>
      <c r="E846" s="5">
        <v>1343</v>
      </c>
      <c r="F846" t="s">
        <v>249</v>
      </c>
      <c r="G846">
        <v>16</v>
      </c>
      <c r="H846" t="s">
        <v>679</v>
      </c>
      <c r="I846" t="s">
        <v>2981</v>
      </c>
      <c r="K846" t="s">
        <v>2982</v>
      </c>
    </row>
    <row r="847" spans="1:12" x14ac:dyDescent="0.25">
      <c r="A847">
        <v>1681</v>
      </c>
      <c r="B847" t="s">
        <v>19</v>
      </c>
      <c r="C847" t="s">
        <v>2830</v>
      </c>
      <c r="D847" t="s">
        <v>219</v>
      </c>
      <c r="E847" s="5">
        <v>1343</v>
      </c>
      <c r="F847" t="s">
        <v>249</v>
      </c>
      <c r="G847">
        <v>16</v>
      </c>
      <c r="H847" t="s">
        <v>725</v>
      </c>
      <c r="I847" t="s">
        <v>2983</v>
      </c>
      <c r="K847" t="s">
        <v>2985</v>
      </c>
      <c r="L847" t="s">
        <v>2986</v>
      </c>
    </row>
    <row r="848" spans="1:12" x14ac:dyDescent="0.25">
      <c r="A848">
        <v>1681</v>
      </c>
      <c r="B848" t="s">
        <v>19</v>
      </c>
      <c r="C848" t="s">
        <v>2830</v>
      </c>
      <c r="D848" t="s">
        <v>219</v>
      </c>
      <c r="E848" s="5">
        <v>1343</v>
      </c>
      <c r="F848" t="s">
        <v>249</v>
      </c>
      <c r="G848">
        <v>16</v>
      </c>
      <c r="H848" t="s">
        <v>2406</v>
      </c>
      <c r="J848" t="s">
        <v>3014</v>
      </c>
      <c r="K848" t="s">
        <v>2965</v>
      </c>
      <c r="L848" t="s">
        <v>2993</v>
      </c>
    </row>
    <row r="849" spans="1:17" x14ac:dyDescent="0.25">
      <c r="A849">
        <v>1681</v>
      </c>
      <c r="B849" t="s">
        <v>19</v>
      </c>
      <c r="C849" t="s">
        <v>2830</v>
      </c>
      <c r="D849" t="s">
        <v>219</v>
      </c>
      <c r="E849" s="5">
        <v>1343</v>
      </c>
      <c r="F849" t="s">
        <v>249</v>
      </c>
      <c r="G849">
        <v>16</v>
      </c>
      <c r="H849" t="s">
        <v>679</v>
      </c>
      <c r="J849" t="s">
        <v>2988</v>
      </c>
      <c r="K849" t="s">
        <v>2989</v>
      </c>
    </row>
    <row r="850" spans="1:17" x14ac:dyDescent="0.25">
      <c r="A850">
        <v>1681</v>
      </c>
      <c r="B850" t="s">
        <v>19</v>
      </c>
      <c r="C850" t="s">
        <v>2830</v>
      </c>
      <c r="D850" t="s">
        <v>219</v>
      </c>
      <c r="E850" s="5">
        <v>1343</v>
      </c>
      <c r="F850" t="s">
        <v>249</v>
      </c>
      <c r="G850">
        <v>16</v>
      </c>
      <c r="H850" t="s">
        <v>2987</v>
      </c>
      <c r="J850" t="s">
        <v>2988</v>
      </c>
      <c r="K850" t="s">
        <v>2989</v>
      </c>
    </row>
    <row r="851" spans="1:17" x14ac:dyDescent="0.25">
      <c r="A851">
        <v>1691</v>
      </c>
      <c r="B851" t="s">
        <v>2998</v>
      </c>
      <c r="C851" t="s">
        <v>2940</v>
      </c>
      <c r="D851" t="s">
        <v>219</v>
      </c>
      <c r="E851" s="5">
        <v>1343</v>
      </c>
      <c r="F851" t="s">
        <v>249</v>
      </c>
      <c r="G851">
        <v>16</v>
      </c>
      <c r="H851" t="s">
        <v>725</v>
      </c>
      <c r="I851" t="s">
        <v>3010</v>
      </c>
      <c r="J851" t="s">
        <v>3011</v>
      </c>
      <c r="K851" t="s">
        <v>2991</v>
      </c>
    </row>
    <row r="852" spans="1:17" x14ac:dyDescent="0.25">
      <c r="A852">
        <v>1691</v>
      </c>
      <c r="B852" t="s">
        <v>2998</v>
      </c>
      <c r="C852" t="s">
        <v>2940</v>
      </c>
      <c r="D852" t="s">
        <v>219</v>
      </c>
      <c r="E852" s="5">
        <v>1343</v>
      </c>
      <c r="F852" t="s">
        <v>249</v>
      </c>
      <c r="G852">
        <v>16</v>
      </c>
      <c r="H852" t="s">
        <v>2406</v>
      </c>
      <c r="I852" t="s">
        <v>3012</v>
      </c>
      <c r="J852" t="s">
        <v>3013</v>
      </c>
      <c r="K852" t="s">
        <v>3015</v>
      </c>
      <c r="L852" t="s">
        <v>3927</v>
      </c>
    </row>
    <row r="853" spans="1:17" x14ac:dyDescent="0.25">
      <c r="A853">
        <v>1691</v>
      </c>
      <c r="B853" t="s">
        <v>2998</v>
      </c>
      <c r="C853" t="s">
        <v>2940</v>
      </c>
      <c r="D853" t="s">
        <v>219</v>
      </c>
      <c r="E853" s="5">
        <v>1343</v>
      </c>
      <c r="F853" t="s">
        <v>249</v>
      </c>
      <c r="G853">
        <v>16</v>
      </c>
      <c r="H853" t="s">
        <v>725</v>
      </c>
      <c r="I853" t="s">
        <v>3007</v>
      </c>
      <c r="J853" t="s">
        <v>3814</v>
      </c>
      <c r="K853" t="s">
        <v>3008</v>
      </c>
      <c r="L853" t="s">
        <v>3009</v>
      </c>
    </row>
    <row r="854" spans="1:17" x14ac:dyDescent="0.25">
      <c r="A854">
        <v>1691</v>
      </c>
      <c r="B854" t="s">
        <v>2998</v>
      </c>
      <c r="C854" t="s">
        <v>2940</v>
      </c>
      <c r="D854" t="s">
        <v>219</v>
      </c>
      <c r="E854" s="5">
        <v>1343</v>
      </c>
      <c r="F854" t="s">
        <v>249</v>
      </c>
      <c r="G854">
        <v>16</v>
      </c>
      <c r="H854" s="8" t="s">
        <v>398</v>
      </c>
      <c r="I854" t="s">
        <v>3007</v>
      </c>
      <c r="J854" t="s">
        <v>3814</v>
      </c>
      <c r="K854" t="s">
        <v>3008</v>
      </c>
      <c r="L854" t="s">
        <v>3009</v>
      </c>
    </row>
    <row r="855" spans="1:17" x14ac:dyDescent="0.25">
      <c r="A855">
        <v>1691</v>
      </c>
      <c r="B855" t="s">
        <v>2998</v>
      </c>
      <c r="C855" t="s">
        <v>2940</v>
      </c>
      <c r="D855" t="s">
        <v>219</v>
      </c>
      <c r="E855" s="5">
        <v>1343</v>
      </c>
      <c r="F855" t="s">
        <v>249</v>
      </c>
      <c r="G855">
        <v>16</v>
      </c>
      <c r="H855" t="s">
        <v>2987</v>
      </c>
      <c r="J855" t="s">
        <v>3000</v>
      </c>
      <c r="K855" t="s">
        <v>3813</v>
      </c>
      <c r="L855" t="s">
        <v>3001</v>
      </c>
    </row>
    <row r="856" spans="1:17" x14ac:dyDescent="0.25">
      <c r="A856">
        <v>1691</v>
      </c>
      <c r="B856" t="s">
        <v>2998</v>
      </c>
      <c r="C856" t="s">
        <v>2940</v>
      </c>
      <c r="D856" t="s">
        <v>219</v>
      </c>
      <c r="E856" s="5">
        <v>1343</v>
      </c>
      <c r="F856" t="s">
        <v>249</v>
      </c>
      <c r="G856">
        <v>16</v>
      </c>
      <c r="H856" t="s">
        <v>725</v>
      </c>
      <c r="J856" t="s">
        <v>3002</v>
      </c>
      <c r="K856" t="s">
        <v>3003</v>
      </c>
      <c r="L856" t="s">
        <v>3004</v>
      </c>
    </row>
    <row r="857" spans="1:17" x14ac:dyDescent="0.25">
      <c r="A857">
        <v>1701</v>
      </c>
      <c r="B857" t="s">
        <v>50</v>
      </c>
      <c r="C857" t="s">
        <v>1520</v>
      </c>
      <c r="D857" t="s">
        <v>219</v>
      </c>
      <c r="E857" s="5">
        <v>1343</v>
      </c>
      <c r="F857" t="s">
        <v>249</v>
      </c>
      <c r="G857">
        <v>16</v>
      </c>
      <c r="H857" t="s">
        <v>472</v>
      </c>
      <c r="I857" t="s">
        <v>3026</v>
      </c>
    </row>
    <row r="858" spans="1:17" x14ac:dyDescent="0.25">
      <c r="A858">
        <v>1701</v>
      </c>
      <c r="B858" t="s">
        <v>50</v>
      </c>
      <c r="C858" t="s">
        <v>1520</v>
      </c>
      <c r="D858" t="s">
        <v>219</v>
      </c>
      <c r="E858" s="5">
        <v>1343</v>
      </c>
      <c r="F858" t="s">
        <v>249</v>
      </c>
      <c r="G858">
        <v>16</v>
      </c>
      <c r="H858" t="s">
        <v>645</v>
      </c>
      <c r="I858" t="s">
        <v>3028</v>
      </c>
    </row>
    <row r="859" spans="1:17" x14ac:dyDescent="0.25">
      <c r="A859">
        <v>1701</v>
      </c>
      <c r="B859" t="s">
        <v>50</v>
      </c>
      <c r="C859" t="s">
        <v>1520</v>
      </c>
      <c r="D859" t="s">
        <v>219</v>
      </c>
      <c r="E859" s="5">
        <v>1343</v>
      </c>
      <c r="F859" t="s">
        <v>249</v>
      </c>
      <c r="G859">
        <v>16</v>
      </c>
      <c r="H859" t="s">
        <v>645</v>
      </c>
      <c r="I859" t="s">
        <v>3024</v>
      </c>
    </row>
    <row r="860" spans="1:17" x14ac:dyDescent="0.25">
      <c r="A860">
        <v>1701</v>
      </c>
      <c r="B860" t="s">
        <v>50</v>
      </c>
      <c r="C860" t="s">
        <v>1520</v>
      </c>
      <c r="D860" t="s">
        <v>219</v>
      </c>
      <c r="E860" s="5">
        <v>1343</v>
      </c>
      <c r="F860" t="s">
        <v>249</v>
      </c>
      <c r="G860">
        <v>16</v>
      </c>
      <c r="H860" s="8" t="s">
        <v>398</v>
      </c>
      <c r="I860" t="s">
        <v>1865</v>
      </c>
    </row>
    <row r="861" spans="1:17" x14ac:dyDescent="0.25">
      <c r="A861">
        <v>1701</v>
      </c>
      <c r="B861" t="s">
        <v>50</v>
      </c>
      <c r="C861" t="s">
        <v>1520</v>
      </c>
      <c r="D861" t="s">
        <v>219</v>
      </c>
      <c r="E861" s="5">
        <v>1343</v>
      </c>
      <c r="F861" t="s">
        <v>249</v>
      </c>
      <c r="G861">
        <v>16</v>
      </c>
      <c r="H861" t="s">
        <v>645</v>
      </c>
      <c r="I861" t="s">
        <v>3041</v>
      </c>
    </row>
    <row r="862" spans="1:17" x14ac:dyDescent="0.25">
      <c r="A862">
        <v>1701</v>
      </c>
      <c r="B862" t="s">
        <v>50</v>
      </c>
      <c r="C862" t="s">
        <v>1520</v>
      </c>
      <c r="D862" t="s">
        <v>219</v>
      </c>
      <c r="E862" s="5">
        <v>1343</v>
      </c>
      <c r="F862" t="s">
        <v>249</v>
      </c>
      <c r="G862">
        <v>16</v>
      </c>
      <c r="H862" s="8" t="s">
        <v>398</v>
      </c>
      <c r="I862" t="s">
        <v>3042</v>
      </c>
    </row>
    <row r="863" spans="1:17" x14ac:dyDescent="0.25">
      <c r="A863">
        <v>1701</v>
      </c>
      <c r="B863" t="s">
        <v>50</v>
      </c>
      <c r="C863" t="s">
        <v>1520</v>
      </c>
      <c r="D863" t="s">
        <v>219</v>
      </c>
      <c r="E863" s="5">
        <v>1343</v>
      </c>
      <c r="F863" t="s">
        <v>249</v>
      </c>
      <c r="G863">
        <v>16</v>
      </c>
      <c r="H863" s="8" t="s">
        <v>398</v>
      </c>
      <c r="I863" t="s">
        <v>3042</v>
      </c>
      <c r="Q863" t="s">
        <v>3044</v>
      </c>
    </row>
    <row r="864" spans="1:17" x14ac:dyDescent="0.25">
      <c r="A864">
        <v>1701</v>
      </c>
      <c r="B864" t="s">
        <v>50</v>
      </c>
      <c r="C864" t="s">
        <v>1520</v>
      </c>
      <c r="D864" t="s">
        <v>219</v>
      </c>
      <c r="E864" s="5">
        <v>1343</v>
      </c>
      <c r="F864" t="s">
        <v>249</v>
      </c>
      <c r="G864">
        <v>16</v>
      </c>
      <c r="H864" t="s">
        <v>645</v>
      </c>
      <c r="I864" t="s">
        <v>3025</v>
      </c>
    </row>
    <row r="865" spans="1:11" x14ac:dyDescent="0.25">
      <c r="A865">
        <v>1701</v>
      </c>
      <c r="B865" t="s">
        <v>50</v>
      </c>
      <c r="C865" t="s">
        <v>1520</v>
      </c>
      <c r="D865" t="s">
        <v>219</v>
      </c>
      <c r="E865" s="5">
        <v>1343</v>
      </c>
      <c r="F865" t="s">
        <v>249</v>
      </c>
      <c r="G865">
        <v>16</v>
      </c>
      <c r="H865" t="s">
        <v>1500</v>
      </c>
      <c r="I865" t="s">
        <v>3031</v>
      </c>
      <c r="K865" t="s">
        <v>3032</v>
      </c>
    </row>
    <row r="866" spans="1:11" x14ac:dyDescent="0.25">
      <c r="A866">
        <v>1701</v>
      </c>
      <c r="B866" t="s">
        <v>50</v>
      </c>
      <c r="C866" t="s">
        <v>1520</v>
      </c>
      <c r="D866" t="s">
        <v>219</v>
      </c>
      <c r="E866" s="5">
        <v>1343</v>
      </c>
      <c r="F866" t="s">
        <v>249</v>
      </c>
      <c r="G866">
        <v>16</v>
      </c>
      <c r="H866" t="s">
        <v>645</v>
      </c>
      <c r="I866" t="s">
        <v>1501</v>
      </c>
    </row>
    <row r="867" spans="1:11" x14ac:dyDescent="0.25">
      <c r="A867">
        <v>1701</v>
      </c>
      <c r="B867" t="s">
        <v>50</v>
      </c>
      <c r="C867" t="s">
        <v>1520</v>
      </c>
      <c r="D867" t="s">
        <v>219</v>
      </c>
      <c r="E867" s="5">
        <v>1343</v>
      </c>
      <c r="F867" t="s">
        <v>249</v>
      </c>
      <c r="G867">
        <v>16</v>
      </c>
      <c r="H867" t="s">
        <v>645</v>
      </c>
      <c r="I867" t="s">
        <v>3030</v>
      </c>
    </row>
    <row r="868" spans="1:11" x14ac:dyDescent="0.25">
      <c r="A868">
        <v>1701</v>
      </c>
      <c r="B868" t="s">
        <v>50</v>
      </c>
      <c r="C868" t="s">
        <v>1520</v>
      </c>
      <c r="D868" t="s">
        <v>219</v>
      </c>
      <c r="E868" s="5">
        <v>1343</v>
      </c>
      <c r="F868" t="s">
        <v>249</v>
      </c>
      <c r="G868">
        <v>16</v>
      </c>
      <c r="H868" s="8" t="s">
        <v>417</v>
      </c>
      <c r="I868" t="s">
        <v>3030</v>
      </c>
    </row>
    <row r="869" spans="1:11" x14ac:dyDescent="0.25">
      <c r="A869">
        <v>1701</v>
      </c>
      <c r="B869" t="s">
        <v>50</v>
      </c>
      <c r="C869" t="s">
        <v>1520</v>
      </c>
      <c r="D869" t="s">
        <v>219</v>
      </c>
      <c r="E869" s="5">
        <v>1343</v>
      </c>
      <c r="F869" t="s">
        <v>249</v>
      </c>
      <c r="G869">
        <v>16</v>
      </c>
      <c r="H869" t="s">
        <v>645</v>
      </c>
      <c r="I869" t="s">
        <v>3038</v>
      </c>
    </row>
    <row r="870" spans="1:11" x14ac:dyDescent="0.25">
      <c r="A870">
        <v>1701</v>
      </c>
      <c r="B870" t="s">
        <v>50</v>
      </c>
      <c r="C870" t="s">
        <v>1520</v>
      </c>
      <c r="D870" t="s">
        <v>219</v>
      </c>
      <c r="E870" s="5">
        <v>1343</v>
      </c>
      <c r="F870" t="s">
        <v>249</v>
      </c>
      <c r="G870">
        <v>16</v>
      </c>
      <c r="H870" s="8" t="s">
        <v>398</v>
      </c>
      <c r="I870" t="s">
        <v>1551</v>
      </c>
    </row>
    <row r="871" spans="1:11" x14ac:dyDescent="0.25">
      <c r="A871">
        <v>1701</v>
      </c>
      <c r="B871" t="s">
        <v>50</v>
      </c>
      <c r="C871" t="s">
        <v>1520</v>
      </c>
      <c r="D871" t="s">
        <v>219</v>
      </c>
      <c r="E871" s="5">
        <v>1343</v>
      </c>
      <c r="F871" t="s">
        <v>249</v>
      </c>
      <c r="G871">
        <v>16</v>
      </c>
      <c r="H871" t="s">
        <v>645</v>
      </c>
      <c r="I871" t="s">
        <v>3040</v>
      </c>
    </row>
    <row r="872" spans="1:11" x14ac:dyDescent="0.25">
      <c r="A872">
        <v>1701</v>
      </c>
      <c r="B872" t="s">
        <v>50</v>
      </c>
      <c r="C872" t="s">
        <v>1520</v>
      </c>
      <c r="D872" t="s">
        <v>219</v>
      </c>
      <c r="E872" s="5">
        <v>1343</v>
      </c>
      <c r="F872" t="s">
        <v>249</v>
      </c>
      <c r="G872">
        <v>16</v>
      </c>
      <c r="H872" t="s">
        <v>645</v>
      </c>
      <c r="I872" t="s">
        <v>3040</v>
      </c>
    </row>
    <row r="873" spans="1:11" x14ac:dyDescent="0.25">
      <c r="A873">
        <v>1701</v>
      </c>
      <c r="B873" t="s">
        <v>50</v>
      </c>
      <c r="C873" t="s">
        <v>1520</v>
      </c>
      <c r="D873" t="s">
        <v>219</v>
      </c>
      <c r="E873" s="5">
        <v>1343</v>
      </c>
      <c r="F873" t="s">
        <v>249</v>
      </c>
      <c r="G873">
        <v>16</v>
      </c>
      <c r="H873" t="s">
        <v>645</v>
      </c>
      <c r="I873" t="s">
        <v>3047</v>
      </c>
    </row>
    <row r="874" spans="1:11" x14ac:dyDescent="0.25">
      <c r="A874">
        <v>1701</v>
      </c>
      <c r="B874" t="s">
        <v>50</v>
      </c>
      <c r="C874" t="s">
        <v>1520</v>
      </c>
      <c r="D874" t="s">
        <v>219</v>
      </c>
      <c r="E874" s="5">
        <v>1343</v>
      </c>
      <c r="F874" t="s">
        <v>249</v>
      </c>
      <c r="G874">
        <v>16</v>
      </c>
      <c r="H874" s="8" t="s">
        <v>398</v>
      </c>
      <c r="I874" t="s">
        <v>3043</v>
      </c>
    </row>
    <row r="875" spans="1:11" x14ac:dyDescent="0.25">
      <c r="A875">
        <v>1701</v>
      </c>
      <c r="B875" t="s">
        <v>50</v>
      </c>
      <c r="C875" t="s">
        <v>1520</v>
      </c>
      <c r="D875" t="s">
        <v>219</v>
      </c>
      <c r="E875" s="5">
        <v>1343</v>
      </c>
      <c r="F875" t="s">
        <v>249</v>
      </c>
      <c r="G875">
        <v>16</v>
      </c>
      <c r="H875" s="8" t="s">
        <v>398</v>
      </c>
      <c r="I875" t="s">
        <v>3046</v>
      </c>
      <c r="K875" t="s">
        <v>3045</v>
      </c>
    </row>
    <row r="876" spans="1:11" x14ac:dyDescent="0.25">
      <c r="A876">
        <v>1701</v>
      </c>
      <c r="B876" t="s">
        <v>50</v>
      </c>
      <c r="C876" t="s">
        <v>1520</v>
      </c>
      <c r="D876" t="s">
        <v>219</v>
      </c>
      <c r="E876" s="5">
        <v>1343</v>
      </c>
      <c r="F876" t="s">
        <v>249</v>
      </c>
      <c r="G876">
        <v>16</v>
      </c>
      <c r="H876" t="s">
        <v>1500</v>
      </c>
      <c r="I876" t="s">
        <v>3029</v>
      </c>
    </row>
    <row r="877" spans="1:11" x14ac:dyDescent="0.25">
      <c r="A877">
        <v>1701</v>
      </c>
      <c r="B877" t="s">
        <v>50</v>
      </c>
      <c r="C877" t="s">
        <v>1520</v>
      </c>
      <c r="D877" t="s">
        <v>219</v>
      </c>
      <c r="E877" s="5">
        <v>1343</v>
      </c>
      <c r="F877" t="s">
        <v>249</v>
      </c>
      <c r="G877">
        <v>16</v>
      </c>
      <c r="H877" t="s">
        <v>645</v>
      </c>
      <c r="I877" t="s">
        <v>3034</v>
      </c>
    </row>
    <row r="878" spans="1:11" x14ac:dyDescent="0.25">
      <c r="A878">
        <v>1701</v>
      </c>
      <c r="B878" t="s">
        <v>50</v>
      </c>
      <c r="C878" t="s">
        <v>1520</v>
      </c>
      <c r="D878" t="s">
        <v>219</v>
      </c>
      <c r="E878" s="5">
        <v>1343</v>
      </c>
      <c r="F878" t="s">
        <v>249</v>
      </c>
      <c r="G878">
        <v>16</v>
      </c>
      <c r="H878" t="s">
        <v>645</v>
      </c>
      <c r="I878" t="s">
        <v>3037</v>
      </c>
    </row>
    <row r="879" spans="1:11" x14ac:dyDescent="0.25">
      <c r="A879">
        <v>1701</v>
      </c>
      <c r="B879" t="s">
        <v>50</v>
      </c>
      <c r="C879" t="s">
        <v>1520</v>
      </c>
      <c r="D879" t="s">
        <v>219</v>
      </c>
      <c r="E879" s="5">
        <v>1343</v>
      </c>
      <c r="F879" t="s">
        <v>249</v>
      </c>
      <c r="G879">
        <v>16</v>
      </c>
      <c r="H879" t="s">
        <v>3036</v>
      </c>
      <c r="I879" t="s">
        <v>3037</v>
      </c>
    </row>
    <row r="880" spans="1:11" x14ac:dyDescent="0.25">
      <c r="A880">
        <v>1701</v>
      </c>
      <c r="B880" t="s">
        <v>50</v>
      </c>
      <c r="C880" t="s">
        <v>1520</v>
      </c>
      <c r="D880" t="s">
        <v>219</v>
      </c>
      <c r="E880" s="5">
        <v>1343</v>
      </c>
      <c r="F880" t="s">
        <v>249</v>
      </c>
      <c r="G880">
        <v>16</v>
      </c>
      <c r="H880" s="8" t="s">
        <v>417</v>
      </c>
      <c r="I880" t="s">
        <v>3039</v>
      </c>
    </row>
    <row r="881" spans="1:10" x14ac:dyDescent="0.25">
      <c r="A881">
        <v>1701</v>
      </c>
      <c r="B881" t="s">
        <v>50</v>
      </c>
      <c r="C881" t="s">
        <v>1520</v>
      </c>
      <c r="D881" t="s">
        <v>219</v>
      </c>
      <c r="E881" s="5">
        <v>1343</v>
      </c>
      <c r="F881" t="s">
        <v>249</v>
      </c>
      <c r="G881">
        <v>16</v>
      </c>
      <c r="H881" t="s">
        <v>1500</v>
      </c>
      <c r="I881" t="s">
        <v>3027</v>
      </c>
    </row>
    <row r="882" spans="1:10" x14ac:dyDescent="0.25">
      <c r="A882">
        <v>1701</v>
      </c>
      <c r="B882" t="s">
        <v>50</v>
      </c>
      <c r="C882" t="s">
        <v>1520</v>
      </c>
      <c r="D882" t="s">
        <v>219</v>
      </c>
      <c r="E882" s="5">
        <v>1343</v>
      </c>
      <c r="F882" t="s">
        <v>249</v>
      </c>
      <c r="G882">
        <v>16</v>
      </c>
      <c r="H882" t="s">
        <v>645</v>
      </c>
      <c r="I882" t="s">
        <v>3033</v>
      </c>
    </row>
    <row r="883" spans="1:10" x14ac:dyDescent="0.25">
      <c r="A883">
        <v>1701</v>
      </c>
      <c r="B883" t="s">
        <v>50</v>
      </c>
      <c r="C883" t="s">
        <v>1520</v>
      </c>
      <c r="D883" t="s">
        <v>219</v>
      </c>
      <c r="E883" s="5">
        <v>1343</v>
      </c>
      <c r="F883" t="s">
        <v>249</v>
      </c>
      <c r="G883">
        <v>16</v>
      </c>
      <c r="H883" t="s">
        <v>645</v>
      </c>
      <c r="I883" t="s">
        <v>3035</v>
      </c>
    </row>
    <row r="884" spans="1:10" x14ac:dyDescent="0.25">
      <c r="A884">
        <v>1701</v>
      </c>
      <c r="B884" t="s">
        <v>50</v>
      </c>
      <c r="C884" t="s">
        <v>1520</v>
      </c>
      <c r="D884" t="s">
        <v>219</v>
      </c>
      <c r="E884" s="5">
        <v>1343</v>
      </c>
      <c r="F884" t="s">
        <v>249</v>
      </c>
      <c r="G884">
        <v>16</v>
      </c>
      <c r="H884" t="s">
        <v>645</v>
      </c>
      <c r="J884" t="s">
        <v>3023</v>
      </c>
    </row>
    <row r="885" spans="1:10" x14ac:dyDescent="0.25">
      <c r="A885">
        <v>1701</v>
      </c>
      <c r="B885" t="s">
        <v>50</v>
      </c>
      <c r="C885" t="s">
        <v>1520</v>
      </c>
      <c r="D885" t="s">
        <v>219</v>
      </c>
      <c r="E885" s="5">
        <v>1343</v>
      </c>
      <c r="F885" t="s">
        <v>249</v>
      </c>
      <c r="G885">
        <v>16</v>
      </c>
      <c r="H885" t="s">
        <v>540</v>
      </c>
      <c r="J885" t="s">
        <v>1534</v>
      </c>
    </row>
    <row r="886" spans="1:10" x14ac:dyDescent="0.25">
      <c r="A886">
        <v>1701</v>
      </c>
      <c r="B886" t="s">
        <v>50</v>
      </c>
      <c r="C886" t="s">
        <v>1520</v>
      </c>
      <c r="D886" t="s">
        <v>219</v>
      </c>
      <c r="E886" s="5">
        <v>1343</v>
      </c>
      <c r="F886" t="s">
        <v>249</v>
      </c>
      <c r="G886">
        <v>16</v>
      </c>
      <c r="H886" t="s">
        <v>488</v>
      </c>
      <c r="J886" t="s">
        <v>3022</v>
      </c>
    </row>
    <row r="887" spans="1:10" x14ac:dyDescent="0.25">
      <c r="A887">
        <v>1711</v>
      </c>
      <c r="B887" t="s">
        <v>3052</v>
      </c>
      <c r="C887" t="s">
        <v>3053</v>
      </c>
      <c r="D887" t="s">
        <v>219</v>
      </c>
      <c r="E887" s="5">
        <v>1343</v>
      </c>
      <c r="F887" t="s">
        <v>249</v>
      </c>
      <c r="G887">
        <v>16</v>
      </c>
      <c r="H887" s="8" t="s">
        <v>398</v>
      </c>
      <c r="I887" t="s">
        <v>3042</v>
      </c>
    </row>
    <row r="888" spans="1:10" x14ac:dyDescent="0.25">
      <c r="A888">
        <v>1711</v>
      </c>
      <c r="B888" t="s">
        <v>3052</v>
      </c>
      <c r="C888" t="s">
        <v>3053</v>
      </c>
      <c r="D888" t="s">
        <v>219</v>
      </c>
      <c r="E888" s="5">
        <v>1343</v>
      </c>
      <c r="F888" t="s">
        <v>249</v>
      </c>
      <c r="G888">
        <v>16</v>
      </c>
      <c r="H888" t="s">
        <v>645</v>
      </c>
      <c r="I888" t="s">
        <v>1491</v>
      </c>
    </row>
    <row r="889" spans="1:10" x14ac:dyDescent="0.25">
      <c r="A889">
        <v>1711</v>
      </c>
      <c r="B889" t="s">
        <v>3052</v>
      </c>
      <c r="C889" t="s">
        <v>3053</v>
      </c>
      <c r="D889" t="s">
        <v>219</v>
      </c>
      <c r="E889" s="5">
        <v>1343</v>
      </c>
      <c r="F889" t="s">
        <v>249</v>
      </c>
      <c r="G889">
        <v>16</v>
      </c>
      <c r="H889" t="s">
        <v>645</v>
      </c>
      <c r="I889" t="s">
        <v>3054</v>
      </c>
    </row>
    <row r="890" spans="1:10" x14ac:dyDescent="0.25">
      <c r="A890">
        <v>1711</v>
      </c>
      <c r="B890" t="s">
        <v>3052</v>
      </c>
      <c r="C890" t="s">
        <v>3053</v>
      </c>
      <c r="D890" t="s">
        <v>219</v>
      </c>
      <c r="E890" s="5">
        <v>1343</v>
      </c>
      <c r="F890" t="s">
        <v>249</v>
      </c>
      <c r="G890">
        <v>16</v>
      </c>
      <c r="H890" t="s">
        <v>645</v>
      </c>
      <c r="I890" t="s">
        <v>1539</v>
      </c>
    </row>
    <row r="891" spans="1:10" x14ac:dyDescent="0.25">
      <c r="A891">
        <v>1711</v>
      </c>
      <c r="B891" t="s">
        <v>3052</v>
      </c>
      <c r="C891" t="s">
        <v>3053</v>
      </c>
      <c r="D891" t="s">
        <v>219</v>
      </c>
      <c r="E891" s="5">
        <v>1343</v>
      </c>
      <c r="F891" t="s">
        <v>249</v>
      </c>
      <c r="G891">
        <v>16</v>
      </c>
      <c r="H891" s="8" t="s">
        <v>398</v>
      </c>
      <c r="I891" t="s">
        <v>1539</v>
      </c>
    </row>
    <row r="892" spans="1:10" x14ac:dyDescent="0.25">
      <c r="A892">
        <v>1711</v>
      </c>
      <c r="B892" t="s">
        <v>3052</v>
      </c>
      <c r="C892" t="s">
        <v>3053</v>
      </c>
      <c r="D892" t="s">
        <v>219</v>
      </c>
      <c r="E892" s="5">
        <v>1343</v>
      </c>
      <c r="F892" t="s">
        <v>249</v>
      </c>
      <c r="G892">
        <v>16</v>
      </c>
      <c r="H892" s="8" t="s">
        <v>417</v>
      </c>
      <c r="I892" t="s">
        <v>3064</v>
      </c>
    </row>
    <row r="893" spans="1:10" x14ac:dyDescent="0.25">
      <c r="A893">
        <v>1711</v>
      </c>
      <c r="B893" t="s">
        <v>3052</v>
      </c>
      <c r="C893" t="s">
        <v>3053</v>
      </c>
      <c r="D893" t="s">
        <v>219</v>
      </c>
      <c r="E893" s="5">
        <v>1343</v>
      </c>
      <c r="F893" t="s">
        <v>249</v>
      </c>
      <c r="G893">
        <v>16</v>
      </c>
      <c r="H893" s="8" t="s">
        <v>398</v>
      </c>
      <c r="I893" t="s">
        <v>1551</v>
      </c>
    </row>
    <row r="894" spans="1:10" x14ac:dyDescent="0.25">
      <c r="A894">
        <v>1711</v>
      </c>
      <c r="B894" t="s">
        <v>3052</v>
      </c>
      <c r="C894" t="s">
        <v>3053</v>
      </c>
      <c r="D894" t="s">
        <v>219</v>
      </c>
      <c r="E894" s="5">
        <v>1343</v>
      </c>
      <c r="F894" t="s">
        <v>249</v>
      </c>
      <c r="G894">
        <v>16</v>
      </c>
      <c r="H894" t="s">
        <v>645</v>
      </c>
      <c r="I894" t="s">
        <v>3056</v>
      </c>
    </row>
    <row r="895" spans="1:10" x14ac:dyDescent="0.25">
      <c r="A895">
        <v>1711</v>
      </c>
      <c r="B895" t="s">
        <v>3052</v>
      </c>
      <c r="C895" t="s">
        <v>3053</v>
      </c>
      <c r="D895" t="s">
        <v>219</v>
      </c>
      <c r="E895" s="5">
        <v>1343</v>
      </c>
      <c r="F895" t="s">
        <v>249</v>
      </c>
      <c r="G895">
        <v>16</v>
      </c>
      <c r="H895" t="s">
        <v>645</v>
      </c>
      <c r="I895" t="s">
        <v>3062</v>
      </c>
    </row>
    <row r="896" spans="1:10" x14ac:dyDescent="0.25">
      <c r="A896">
        <v>1711</v>
      </c>
      <c r="B896" t="s">
        <v>3052</v>
      </c>
      <c r="C896" t="s">
        <v>3053</v>
      </c>
      <c r="D896" t="s">
        <v>219</v>
      </c>
      <c r="E896" s="5">
        <v>1343</v>
      </c>
      <c r="F896" t="s">
        <v>249</v>
      </c>
      <c r="G896">
        <v>16</v>
      </c>
      <c r="H896" t="s">
        <v>645</v>
      </c>
      <c r="I896" t="s">
        <v>3055</v>
      </c>
    </row>
    <row r="897" spans="1:17" x14ac:dyDescent="0.25">
      <c r="A897">
        <v>1711</v>
      </c>
      <c r="B897" t="s">
        <v>3052</v>
      </c>
      <c r="C897" t="s">
        <v>3053</v>
      </c>
      <c r="D897" t="s">
        <v>219</v>
      </c>
      <c r="E897" s="5">
        <v>1343</v>
      </c>
      <c r="F897" t="s">
        <v>249</v>
      </c>
      <c r="G897">
        <v>16</v>
      </c>
      <c r="H897" t="s">
        <v>645</v>
      </c>
      <c r="I897" t="s">
        <v>3037</v>
      </c>
    </row>
    <row r="898" spans="1:17" x14ac:dyDescent="0.25">
      <c r="A898">
        <v>1711</v>
      </c>
      <c r="B898" t="s">
        <v>3052</v>
      </c>
      <c r="C898" t="s">
        <v>3053</v>
      </c>
      <c r="D898" t="s">
        <v>219</v>
      </c>
      <c r="E898" s="5">
        <v>1343</v>
      </c>
      <c r="F898" t="s">
        <v>249</v>
      </c>
      <c r="G898">
        <v>16</v>
      </c>
      <c r="H898" s="8" t="s">
        <v>417</v>
      </c>
      <c r="I898" t="s">
        <v>3065</v>
      </c>
    </row>
    <row r="899" spans="1:17" x14ac:dyDescent="0.25">
      <c r="A899">
        <v>1711</v>
      </c>
      <c r="B899" t="s">
        <v>3052</v>
      </c>
      <c r="C899" t="s">
        <v>3053</v>
      </c>
      <c r="D899" t="s">
        <v>219</v>
      </c>
      <c r="E899" s="5">
        <v>1343</v>
      </c>
      <c r="F899" t="s">
        <v>249</v>
      </c>
      <c r="G899">
        <v>16</v>
      </c>
      <c r="H899" t="s">
        <v>645</v>
      </c>
      <c r="I899" t="s">
        <v>3060</v>
      </c>
    </row>
    <row r="900" spans="1:17" x14ac:dyDescent="0.25">
      <c r="A900">
        <v>1711</v>
      </c>
      <c r="B900" t="s">
        <v>3052</v>
      </c>
      <c r="C900" t="s">
        <v>3053</v>
      </c>
      <c r="D900" t="s">
        <v>219</v>
      </c>
      <c r="E900" s="5">
        <v>1343</v>
      </c>
      <c r="F900" t="s">
        <v>249</v>
      </c>
      <c r="G900">
        <v>16</v>
      </c>
      <c r="H900" t="s">
        <v>645</v>
      </c>
      <c r="I900" t="s">
        <v>3057</v>
      </c>
    </row>
    <row r="901" spans="1:17" x14ac:dyDescent="0.25">
      <c r="A901">
        <v>1711</v>
      </c>
      <c r="B901" t="s">
        <v>3052</v>
      </c>
      <c r="C901" t="s">
        <v>3053</v>
      </c>
      <c r="D901" t="s">
        <v>219</v>
      </c>
      <c r="E901" s="5">
        <v>1343</v>
      </c>
      <c r="F901" t="s">
        <v>249</v>
      </c>
      <c r="G901">
        <v>16</v>
      </c>
      <c r="H901" t="s">
        <v>2549</v>
      </c>
      <c r="J901" t="s">
        <v>3061</v>
      </c>
    </row>
    <row r="902" spans="1:17" x14ac:dyDescent="0.25">
      <c r="A902">
        <v>1711</v>
      </c>
      <c r="B902" t="s">
        <v>3052</v>
      </c>
      <c r="C902" t="s">
        <v>3053</v>
      </c>
      <c r="D902" t="s">
        <v>219</v>
      </c>
      <c r="E902" s="5">
        <v>1343</v>
      </c>
      <c r="F902" t="s">
        <v>249</v>
      </c>
      <c r="G902">
        <v>16</v>
      </c>
      <c r="H902" t="s">
        <v>3063</v>
      </c>
      <c r="J902" t="s">
        <v>1546</v>
      </c>
    </row>
    <row r="903" spans="1:17" x14ac:dyDescent="0.25">
      <c r="A903">
        <v>1711</v>
      </c>
      <c r="B903" t="s">
        <v>3052</v>
      </c>
      <c r="C903" t="s">
        <v>3053</v>
      </c>
      <c r="D903" t="s">
        <v>219</v>
      </c>
      <c r="E903" s="5">
        <v>1343</v>
      </c>
      <c r="F903" t="s">
        <v>249</v>
      </c>
      <c r="G903">
        <v>16</v>
      </c>
      <c r="H903" t="s">
        <v>833</v>
      </c>
      <c r="J903" t="s">
        <v>1546</v>
      </c>
      <c r="K903" t="s">
        <v>3066</v>
      </c>
      <c r="L903" t="s">
        <v>3067</v>
      </c>
      <c r="M903" t="s">
        <v>3068</v>
      </c>
    </row>
    <row r="904" spans="1:17" x14ac:dyDescent="0.25">
      <c r="A904">
        <v>1711</v>
      </c>
      <c r="B904" t="s">
        <v>3052</v>
      </c>
      <c r="C904" t="s">
        <v>3053</v>
      </c>
      <c r="D904" t="s">
        <v>219</v>
      </c>
      <c r="E904" s="5">
        <v>1343</v>
      </c>
      <c r="F904" t="s">
        <v>249</v>
      </c>
      <c r="G904">
        <v>16</v>
      </c>
      <c r="H904" t="s">
        <v>645</v>
      </c>
      <c r="J904" t="s">
        <v>3059</v>
      </c>
    </row>
    <row r="905" spans="1:17" x14ac:dyDescent="0.25">
      <c r="A905">
        <v>1711</v>
      </c>
      <c r="B905" t="s">
        <v>3052</v>
      </c>
      <c r="C905" t="s">
        <v>3053</v>
      </c>
      <c r="D905" t="s">
        <v>219</v>
      </c>
      <c r="E905" s="5">
        <v>1343</v>
      </c>
      <c r="F905" t="s">
        <v>249</v>
      </c>
      <c r="G905">
        <v>16</v>
      </c>
      <c r="H905" t="s">
        <v>645</v>
      </c>
      <c r="J905" t="s">
        <v>3058</v>
      </c>
    </row>
    <row r="906" spans="1:17" x14ac:dyDescent="0.25">
      <c r="A906">
        <v>1721</v>
      </c>
      <c r="B906" t="s">
        <v>19</v>
      </c>
      <c r="C906" t="s">
        <v>1810</v>
      </c>
      <c r="D906" t="s">
        <v>219</v>
      </c>
      <c r="E906" s="5">
        <v>1343</v>
      </c>
      <c r="F906" t="s">
        <v>249</v>
      </c>
      <c r="G906">
        <v>17</v>
      </c>
      <c r="H906" t="s">
        <v>3073</v>
      </c>
      <c r="J906" t="s">
        <v>3074</v>
      </c>
      <c r="K906" t="s">
        <v>3075</v>
      </c>
      <c r="L906" t="s">
        <v>3076</v>
      </c>
      <c r="M906" t="s">
        <v>3077</v>
      </c>
    </row>
    <row r="907" spans="1:17" x14ac:dyDescent="0.25">
      <c r="A907">
        <v>1722</v>
      </c>
      <c r="B907" t="s">
        <v>13</v>
      </c>
      <c r="C907" t="s">
        <v>3081</v>
      </c>
      <c r="D907" t="s">
        <v>219</v>
      </c>
      <c r="E907" s="5">
        <v>1343</v>
      </c>
      <c r="F907" t="s">
        <v>249</v>
      </c>
      <c r="G907">
        <v>23</v>
      </c>
      <c r="H907" t="s">
        <v>2467</v>
      </c>
      <c r="I907" t="s">
        <v>3083</v>
      </c>
      <c r="K907" t="s">
        <v>3085</v>
      </c>
      <c r="L907" t="s">
        <v>3086</v>
      </c>
      <c r="M907" t="s">
        <v>3087</v>
      </c>
      <c r="Q907" t="s">
        <v>3088</v>
      </c>
    </row>
    <row r="908" spans="1:17" x14ac:dyDescent="0.25">
      <c r="A908">
        <v>1722</v>
      </c>
      <c r="B908" t="s">
        <v>13</v>
      </c>
      <c r="C908" t="s">
        <v>3081</v>
      </c>
      <c r="D908" t="s">
        <v>219</v>
      </c>
      <c r="E908" s="5">
        <v>1343</v>
      </c>
      <c r="F908" t="s">
        <v>249</v>
      </c>
      <c r="G908">
        <v>23</v>
      </c>
      <c r="H908" t="s">
        <v>3878</v>
      </c>
      <c r="I908" t="s">
        <v>3083</v>
      </c>
      <c r="K908" t="s">
        <v>3085</v>
      </c>
      <c r="L908" t="s">
        <v>3086</v>
      </c>
      <c r="M908" t="s">
        <v>3087</v>
      </c>
      <c r="Q908" t="s">
        <v>3088</v>
      </c>
    </row>
    <row r="909" spans="1:17" x14ac:dyDescent="0.25">
      <c r="A909">
        <v>1731</v>
      </c>
      <c r="B909" t="s">
        <v>104</v>
      </c>
      <c r="C909" t="s">
        <v>2081</v>
      </c>
      <c r="D909" t="s">
        <v>219</v>
      </c>
      <c r="E909" s="5">
        <v>1343</v>
      </c>
      <c r="G909" s="27" t="s">
        <v>760</v>
      </c>
      <c r="H909" t="s">
        <v>645</v>
      </c>
      <c r="I909" t="s">
        <v>3110</v>
      </c>
      <c r="K909" t="s">
        <v>3111</v>
      </c>
      <c r="L909" t="s">
        <v>3112</v>
      </c>
    </row>
    <row r="910" spans="1:17" x14ac:dyDescent="0.25">
      <c r="A910">
        <v>1731</v>
      </c>
      <c r="B910" t="s">
        <v>104</v>
      </c>
      <c r="C910" t="s">
        <v>2081</v>
      </c>
      <c r="D910" t="s">
        <v>219</v>
      </c>
      <c r="E910" s="5">
        <v>1343</v>
      </c>
      <c r="G910" s="27" t="s">
        <v>760</v>
      </c>
      <c r="H910" t="s">
        <v>645</v>
      </c>
      <c r="I910" t="s">
        <v>3102</v>
      </c>
      <c r="K910" t="s">
        <v>3103</v>
      </c>
      <c r="L910" t="s">
        <v>3104</v>
      </c>
    </row>
    <row r="911" spans="1:17" x14ac:dyDescent="0.25">
      <c r="A911">
        <v>1731</v>
      </c>
      <c r="B911" t="s">
        <v>104</v>
      </c>
      <c r="C911" t="s">
        <v>2081</v>
      </c>
      <c r="D911" t="s">
        <v>219</v>
      </c>
      <c r="E911" s="5">
        <v>1343</v>
      </c>
      <c r="G911" s="27" t="s">
        <v>760</v>
      </c>
      <c r="H911" s="8" t="s">
        <v>398</v>
      </c>
      <c r="I911" t="s">
        <v>3106</v>
      </c>
    </row>
    <row r="912" spans="1:17" x14ac:dyDescent="0.25">
      <c r="A912">
        <v>1731</v>
      </c>
      <c r="B912" t="s">
        <v>104</v>
      </c>
      <c r="C912" t="s">
        <v>2081</v>
      </c>
      <c r="D912" t="s">
        <v>219</v>
      </c>
      <c r="E912" s="5">
        <v>1343</v>
      </c>
      <c r="G912" s="27" t="s">
        <v>760</v>
      </c>
      <c r="H912" t="s">
        <v>645</v>
      </c>
      <c r="I912" t="s">
        <v>3099</v>
      </c>
      <c r="K912" t="s">
        <v>3100</v>
      </c>
      <c r="L912" t="s">
        <v>3101</v>
      </c>
    </row>
    <row r="913" spans="1:12" x14ac:dyDescent="0.25">
      <c r="A913">
        <v>1731</v>
      </c>
      <c r="B913" t="s">
        <v>104</v>
      </c>
      <c r="C913" t="s">
        <v>2081</v>
      </c>
      <c r="D913" t="s">
        <v>219</v>
      </c>
      <c r="E913" s="5">
        <v>1343</v>
      </c>
      <c r="G913" s="27" t="s">
        <v>760</v>
      </c>
      <c r="H913" t="s">
        <v>488</v>
      </c>
      <c r="I913" t="s">
        <v>2821</v>
      </c>
      <c r="K913" t="s">
        <v>3098</v>
      </c>
    </row>
    <row r="914" spans="1:12" x14ac:dyDescent="0.25">
      <c r="A914">
        <v>1731</v>
      </c>
      <c r="B914" t="s">
        <v>104</v>
      </c>
      <c r="C914" t="s">
        <v>2081</v>
      </c>
      <c r="D914" t="s">
        <v>219</v>
      </c>
      <c r="E914" s="5">
        <v>1343</v>
      </c>
      <c r="G914" s="27" t="s">
        <v>760</v>
      </c>
      <c r="H914" t="s">
        <v>488</v>
      </c>
      <c r="I914" t="s">
        <v>3097</v>
      </c>
      <c r="K914" t="s">
        <v>3098</v>
      </c>
    </row>
    <row r="915" spans="1:12" x14ac:dyDescent="0.25">
      <c r="A915">
        <v>1731</v>
      </c>
      <c r="B915" t="s">
        <v>104</v>
      </c>
      <c r="C915" t="s">
        <v>2081</v>
      </c>
      <c r="D915" t="s">
        <v>219</v>
      </c>
      <c r="E915" s="5">
        <v>1343</v>
      </c>
      <c r="G915" s="27" t="s">
        <v>760</v>
      </c>
      <c r="H915" t="s">
        <v>645</v>
      </c>
      <c r="J915" t="s">
        <v>3105</v>
      </c>
    </row>
    <row r="916" spans="1:12" x14ac:dyDescent="0.25">
      <c r="A916">
        <v>1731</v>
      </c>
      <c r="B916" t="s">
        <v>104</v>
      </c>
      <c r="C916" t="s">
        <v>2081</v>
      </c>
      <c r="D916" t="s">
        <v>219</v>
      </c>
      <c r="E916" s="5">
        <v>1343</v>
      </c>
      <c r="G916" s="27" t="s">
        <v>760</v>
      </c>
      <c r="H916" t="s">
        <v>389</v>
      </c>
      <c r="J916" t="s">
        <v>3094</v>
      </c>
      <c r="K916" t="s">
        <v>3095</v>
      </c>
      <c r="L916" t="s">
        <v>3096</v>
      </c>
    </row>
    <row r="917" spans="1:12" x14ac:dyDescent="0.25">
      <c r="A917">
        <v>1731</v>
      </c>
      <c r="B917" t="s">
        <v>104</v>
      </c>
      <c r="C917" t="s">
        <v>2081</v>
      </c>
      <c r="D917" t="s">
        <v>219</v>
      </c>
      <c r="E917" s="5">
        <v>1343</v>
      </c>
      <c r="G917" s="27" t="s">
        <v>760</v>
      </c>
      <c r="H917" t="s">
        <v>645</v>
      </c>
      <c r="J917" t="s">
        <v>3107</v>
      </c>
      <c r="K917" t="s">
        <v>3108</v>
      </c>
      <c r="L917" t="s">
        <v>3109</v>
      </c>
    </row>
    <row r="918" spans="1:12" x14ac:dyDescent="0.25">
      <c r="A918">
        <v>1741</v>
      </c>
      <c r="B918" t="s">
        <v>3118</v>
      </c>
      <c r="C918" t="s">
        <v>139</v>
      </c>
      <c r="D918" t="s">
        <v>219</v>
      </c>
      <c r="E918" s="5">
        <v>1343</v>
      </c>
      <c r="G918" s="27" t="s">
        <v>760</v>
      </c>
      <c r="H918" t="s">
        <v>3138</v>
      </c>
      <c r="I918" t="s">
        <v>3139</v>
      </c>
      <c r="K918" t="s">
        <v>3140</v>
      </c>
      <c r="L918" t="s">
        <v>3141</v>
      </c>
    </row>
    <row r="919" spans="1:12" x14ac:dyDescent="0.25">
      <c r="A919">
        <v>1741</v>
      </c>
      <c r="B919" t="s">
        <v>3118</v>
      </c>
      <c r="C919" t="s">
        <v>139</v>
      </c>
      <c r="D919" t="s">
        <v>219</v>
      </c>
      <c r="E919" s="5">
        <v>1343</v>
      </c>
      <c r="G919" s="27" t="s">
        <v>760</v>
      </c>
      <c r="H919" t="s">
        <v>645</v>
      </c>
      <c r="I919" t="s">
        <v>3135</v>
      </c>
      <c r="K919" t="s">
        <v>3136</v>
      </c>
      <c r="L919" t="s">
        <v>3137</v>
      </c>
    </row>
    <row r="920" spans="1:12" x14ac:dyDescent="0.25">
      <c r="A920">
        <v>1741</v>
      </c>
      <c r="B920" t="s">
        <v>3118</v>
      </c>
      <c r="C920" t="s">
        <v>139</v>
      </c>
      <c r="D920" t="s">
        <v>219</v>
      </c>
      <c r="E920" s="5">
        <v>1343</v>
      </c>
      <c r="G920" s="27" t="s">
        <v>760</v>
      </c>
      <c r="H920" t="s">
        <v>1683</v>
      </c>
      <c r="I920" t="s">
        <v>3132</v>
      </c>
      <c r="K920" t="s">
        <v>3121</v>
      </c>
      <c r="L920" t="s">
        <v>3121</v>
      </c>
    </row>
    <row r="921" spans="1:12" x14ac:dyDescent="0.25">
      <c r="A921">
        <v>1741</v>
      </c>
      <c r="B921" t="s">
        <v>3118</v>
      </c>
      <c r="C921" t="s">
        <v>139</v>
      </c>
      <c r="D921" t="s">
        <v>219</v>
      </c>
      <c r="E921" s="5">
        <v>1343</v>
      </c>
      <c r="G921" s="27" t="s">
        <v>760</v>
      </c>
      <c r="H921" t="s">
        <v>645</v>
      </c>
      <c r="I921" t="s">
        <v>3133</v>
      </c>
      <c r="K921" t="s">
        <v>3134</v>
      </c>
    </row>
    <row r="922" spans="1:12" x14ac:dyDescent="0.25">
      <c r="A922">
        <v>1741</v>
      </c>
      <c r="B922" t="s">
        <v>3118</v>
      </c>
      <c r="C922" t="s">
        <v>139</v>
      </c>
      <c r="D922" t="s">
        <v>219</v>
      </c>
      <c r="E922" s="5">
        <v>1343</v>
      </c>
      <c r="G922" s="27" t="s">
        <v>760</v>
      </c>
      <c r="H922" t="s">
        <v>1683</v>
      </c>
      <c r="J922" t="s">
        <v>3120</v>
      </c>
      <c r="K922" t="s">
        <v>3121</v>
      </c>
    </row>
    <row r="923" spans="1:12" x14ac:dyDescent="0.25">
      <c r="A923">
        <v>1741</v>
      </c>
      <c r="B923" t="s">
        <v>3118</v>
      </c>
      <c r="C923" t="s">
        <v>139</v>
      </c>
      <c r="D923" t="s">
        <v>219</v>
      </c>
      <c r="E923" s="5">
        <v>1343</v>
      </c>
      <c r="G923" s="27" t="s">
        <v>760</v>
      </c>
      <c r="H923" t="s">
        <v>645</v>
      </c>
      <c r="J923" t="s">
        <v>3122</v>
      </c>
      <c r="K923" t="s">
        <v>3123</v>
      </c>
      <c r="L923" t="s">
        <v>3124</v>
      </c>
    </row>
    <row r="924" spans="1:12" x14ac:dyDescent="0.25">
      <c r="A924">
        <v>1741</v>
      </c>
      <c r="B924" t="s">
        <v>3118</v>
      </c>
      <c r="C924" t="s">
        <v>139</v>
      </c>
      <c r="D924" t="s">
        <v>219</v>
      </c>
      <c r="E924" s="5">
        <v>1343</v>
      </c>
      <c r="G924" s="27" t="s">
        <v>760</v>
      </c>
      <c r="H924" t="s">
        <v>645</v>
      </c>
      <c r="J924" t="s">
        <v>3125</v>
      </c>
      <c r="K924" t="s">
        <v>3126</v>
      </c>
      <c r="L924" t="s">
        <v>3127</v>
      </c>
    </row>
    <row r="925" spans="1:12" x14ac:dyDescent="0.25">
      <c r="A925">
        <v>1741</v>
      </c>
      <c r="B925" t="s">
        <v>3118</v>
      </c>
      <c r="C925" t="s">
        <v>139</v>
      </c>
      <c r="D925" t="s">
        <v>219</v>
      </c>
      <c r="E925" s="5">
        <v>1343</v>
      </c>
      <c r="G925" s="27" t="s">
        <v>760</v>
      </c>
      <c r="H925" t="s">
        <v>645</v>
      </c>
      <c r="J925" t="s">
        <v>3128</v>
      </c>
      <c r="K925" t="s">
        <v>3129</v>
      </c>
    </row>
    <row r="926" spans="1:12" x14ac:dyDescent="0.25">
      <c r="A926">
        <v>1741</v>
      </c>
      <c r="B926" t="s">
        <v>3118</v>
      </c>
      <c r="C926" t="s">
        <v>139</v>
      </c>
      <c r="D926" t="s">
        <v>219</v>
      </c>
      <c r="E926" s="5">
        <v>1343</v>
      </c>
      <c r="G926" s="27" t="s">
        <v>760</v>
      </c>
      <c r="H926" t="s">
        <v>3145</v>
      </c>
      <c r="J926" t="s">
        <v>3146</v>
      </c>
    </row>
    <row r="927" spans="1:12" x14ac:dyDescent="0.25">
      <c r="A927">
        <v>1741</v>
      </c>
      <c r="B927" t="s">
        <v>3118</v>
      </c>
      <c r="C927" t="s">
        <v>139</v>
      </c>
      <c r="D927" t="s">
        <v>219</v>
      </c>
      <c r="E927" s="5">
        <v>1343</v>
      </c>
      <c r="G927" s="27" t="s">
        <v>760</v>
      </c>
      <c r="H927" s="8" t="s">
        <v>398</v>
      </c>
      <c r="J927" t="s">
        <v>3130</v>
      </c>
      <c r="K927" t="s">
        <v>3131</v>
      </c>
      <c r="L927" t="s">
        <v>3121</v>
      </c>
    </row>
    <row r="928" spans="1:12" x14ac:dyDescent="0.25">
      <c r="A928">
        <v>1741</v>
      </c>
      <c r="B928" t="s">
        <v>3118</v>
      </c>
      <c r="C928" t="s">
        <v>139</v>
      </c>
      <c r="D928" t="s">
        <v>219</v>
      </c>
      <c r="E928" s="5">
        <v>1343</v>
      </c>
      <c r="G928" s="27" t="s">
        <v>760</v>
      </c>
      <c r="H928" s="8" t="s">
        <v>417</v>
      </c>
      <c r="J928" t="s">
        <v>3147</v>
      </c>
      <c r="K928" t="s">
        <v>3148</v>
      </c>
    </row>
    <row r="929" spans="1:18" x14ac:dyDescent="0.25">
      <c r="A929">
        <v>1741</v>
      </c>
      <c r="B929" t="s">
        <v>3118</v>
      </c>
      <c r="C929" t="s">
        <v>139</v>
      </c>
      <c r="D929" t="s">
        <v>219</v>
      </c>
      <c r="E929" s="5">
        <v>1343</v>
      </c>
      <c r="G929" s="27" t="s">
        <v>760</v>
      </c>
      <c r="H929" t="s">
        <v>3149</v>
      </c>
      <c r="J929" t="s">
        <v>3142</v>
      </c>
      <c r="K929" t="s">
        <v>3143</v>
      </c>
      <c r="L929" t="s">
        <v>3144</v>
      </c>
    </row>
    <row r="930" spans="1:18" x14ac:dyDescent="0.25">
      <c r="A930">
        <v>1751</v>
      </c>
      <c r="B930" t="s">
        <v>3152</v>
      </c>
      <c r="C930" t="s">
        <v>2653</v>
      </c>
      <c r="D930" t="s">
        <v>220</v>
      </c>
      <c r="E930" s="5">
        <v>1343</v>
      </c>
      <c r="F930" t="s">
        <v>383</v>
      </c>
      <c r="G930">
        <v>12</v>
      </c>
      <c r="H930" t="s">
        <v>3171</v>
      </c>
      <c r="I930" t="s">
        <v>3172</v>
      </c>
    </row>
    <row r="931" spans="1:18" x14ac:dyDescent="0.25">
      <c r="A931">
        <v>1751</v>
      </c>
      <c r="B931" t="s">
        <v>3152</v>
      </c>
      <c r="C931" t="s">
        <v>2653</v>
      </c>
      <c r="D931" t="s">
        <v>220</v>
      </c>
      <c r="E931" s="5">
        <v>1343</v>
      </c>
      <c r="F931" t="s">
        <v>383</v>
      </c>
      <c r="G931">
        <v>12</v>
      </c>
      <c r="H931" s="8" t="s">
        <v>398</v>
      </c>
      <c r="I931" t="s">
        <v>1248</v>
      </c>
      <c r="K931" t="s">
        <v>3163</v>
      </c>
      <c r="Q931" t="s">
        <v>3162</v>
      </c>
      <c r="R931" t="s">
        <v>463</v>
      </c>
    </row>
    <row r="932" spans="1:18" x14ac:dyDescent="0.25">
      <c r="A932">
        <v>1751</v>
      </c>
      <c r="B932" t="s">
        <v>3152</v>
      </c>
      <c r="C932" t="s">
        <v>2653</v>
      </c>
      <c r="D932" t="s">
        <v>220</v>
      </c>
      <c r="E932" s="5">
        <v>1343</v>
      </c>
      <c r="F932" t="s">
        <v>383</v>
      </c>
      <c r="G932">
        <v>12</v>
      </c>
      <c r="H932" t="s">
        <v>679</v>
      </c>
      <c r="I932" t="s">
        <v>1248</v>
      </c>
      <c r="K932" t="s">
        <v>3163</v>
      </c>
      <c r="Q932" t="s">
        <v>3162</v>
      </c>
      <c r="R932" t="s">
        <v>463</v>
      </c>
    </row>
    <row r="933" spans="1:18" x14ac:dyDescent="0.25">
      <c r="A933">
        <v>1751</v>
      </c>
      <c r="B933" t="s">
        <v>3152</v>
      </c>
      <c r="C933" t="s">
        <v>2653</v>
      </c>
      <c r="D933" t="s">
        <v>220</v>
      </c>
      <c r="E933" s="5">
        <v>1343</v>
      </c>
      <c r="F933" t="s">
        <v>383</v>
      </c>
      <c r="G933">
        <v>12</v>
      </c>
      <c r="H933" t="s">
        <v>2467</v>
      </c>
      <c r="J933" t="s">
        <v>3158</v>
      </c>
      <c r="K933" t="s">
        <v>3159</v>
      </c>
      <c r="L933" t="s">
        <v>3160</v>
      </c>
    </row>
    <row r="934" spans="1:18" x14ac:dyDescent="0.25">
      <c r="A934">
        <v>1751</v>
      </c>
      <c r="B934" t="s">
        <v>3152</v>
      </c>
      <c r="C934" t="s">
        <v>2653</v>
      </c>
      <c r="D934" t="s">
        <v>220</v>
      </c>
      <c r="E934" s="5">
        <v>1343</v>
      </c>
      <c r="F934" t="s">
        <v>383</v>
      </c>
      <c r="G934">
        <v>12</v>
      </c>
      <c r="H934" t="s">
        <v>1934</v>
      </c>
      <c r="J934" t="s">
        <v>3158</v>
      </c>
      <c r="K934" t="s">
        <v>3159</v>
      </c>
      <c r="L934" t="s">
        <v>3160</v>
      </c>
    </row>
    <row r="935" spans="1:18" x14ac:dyDescent="0.25">
      <c r="A935">
        <v>1751</v>
      </c>
      <c r="B935" t="s">
        <v>3152</v>
      </c>
      <c r="C935" t="s">
        <v>2653</v>
      </c>
      <c r="D935" t="s">
        <v>220</v>
      </c>
      <c r="E935" s="5">
        <v>1343</v>
      </c>
      <c r="F935" t="s">
        <v>383</v>
      </c>
      <c r="G935">
        <v>12</v>
      </c>
      <c r="H935" t="s">
        <v>389</v>
      </c>
      <c r="J935" t="s">
        <v>1903</v>
      </c>
      <c r="K935" t="s">
        <v>3154</v>
      </c>
    </row>
    <row r="936" spans="1:18" x14ac:dyDescent="0.25">
      <c r="A936">
        <v>1751</v>
      </c>
      <c r="B936" t="s">
        <v>3152</v>
      </c>
      <c r="C936" t="s">
        <v>2653</v>
      </c>
      <c r="D936" t="s">
        <v>220</v>
      </c>
      <c r="E936" s="5">
        <v>1343</v>
      </c>
      <c r="F936" t="s">
        <v>383</v>
      </c>
      <c r="G936">
        <v>12</v>
      </c>
      <c r="H936" t="s">
        <v>2468</v>
      </c>
      <c r="J936" t="s">
        <v>1903</v>
      </c>
      <c r="K936" t="s">
        <v>3155</v>
      </c>
    </row>
    <row r="937" spans="1:18" x14ac:dyDescent="0.25">
      <c r="A937">
        <v>1751</v>
      </c>
      <c r="B937" t="s">
        <v>3152</v>
      </c>
      <c r="C937" t="s">
        <v>2653</v>
      </c>
      <c r="D937" t="s">
        <v>220</v>
      </c>
      <c r="E937" s="5">
        <v>1343</v>
      </c>
      <c r="F937" t="s">
        <v>383</v>
      </c>
      <c r="G937">
        <v>12</v>
      </c>
      <c r="H937" t="s">
        <v>2468</v>
      </c>
      <c r="J937" t="s">
        <v>1903</v>
      </c>
      <c r="K937" t="s">
        <v>3156</v>
      </c>
    </row>
    <row r="938" spans="1:18" x14ac:dyDescent="0.25">
      <c r="A938">
        <v>1751</v>
      </c>
      <c r="B938" t="s">
        <v>3152</v>
      </c>
      <c r="C938" t="s">
        <v>2653</v>
      </c>
      <c r="D938" t="s">
        <v>220</v>
      </c>
      <c r="E938" s="5">
        <v>1343</v>
      </c>
      <c r="F938" t="s">
        <v>383</v>
      </c>
      <c r="G938">
        <v>12</v>
      </c>
      <c r="H938" t="s">
        <v>725</v>
      </c>
      <c r="K938" t="s">
        <v>2955</v>
      </c>
      <c r="L938" t="s">
        <v>3166</v>
      </c>
      <c r="Q938" t="s">
        <v>3165</v>
      </c>
    </row>
    <row r="939" spans="1:18" x14ac:dyDescent="0.25">
      <c r="A939">
        <v>1751</v>
      </c>
      <c r="B939" t="s">
        <v>3152</v>
      </c>
      <c r="C939" t="s">
        <v>2653</v>
      </c>
      <c r="D939" t="s">
        <v>220</v>
      </c>
      <c r="E939" s="5">
        <v>1343</v>
      </c>
      <c r="F939" t="s">
        <v>383</v>
      </c>
      <c r="G939">
        <v>12</v>
      </c>
      <c r="H939" t="s">
        <v>3173</v>
      </c>
    </row>
    <row r="940" spans="1:18" x14ac:dyDescent="0.25">
      <c r="A940">
        <v>1761</v>
      </c>
      <c r="B940" t="s">
        <v>13</v>
      </c>
      <c r="C940" t="s">
        <v>2661</v>
      </c>
      <c r="D940" t="s">
        <v>219</v>
      </c>
      <c r="E940" s="5">
        <v>1343</v>
      </c>
      <c r="F940" t="s">
        <v>1082</v>
      </c>
      <c r="G940">
        <v>26</v>
      </c>
      <c r="H940" s="8" t="s">
        <v>398</v>
      </c>
      <c r="I940" t="s">
        <v>3184</v>
      </c>
      <c r="K940" t="s">
        <v>3925</v>
      </c>
      <c r="L940" t="s">
        <v>3926</v>
      </c>
      <c r="Q940" t="s">
        <v>3185</v>
      </c>
    </row>
    <row r="941" spans="1:18" x14ac:dyDescent="0.25">
      <c r="A941">
        <v>1761</v>
      </c>
      <c r="B941" t="s">
        <v>13</v>
      </c>
      <c r="C941" t="s">
        <v>2661</v>
      </c>
      <c r="D941" t="s">
        <v>219</v>
      </c>
      <c r="E941" s="5">
        <v>1343</v>
      </c>
      <c r="F941" t="s">
        <v>1082</v>
      </c>
      <c r="G941">
        <v>26</v>
      </c>
      <c r="H941" t="s">
        <v>679</v>
      </c>
      <c r="I941" t="s">
        <v>3184</v>
      </c>
      <c r="K941" t="s">
        <v>3925</v>
      </c>
      <c r="L941" t="s">
        <v>3926</v>
      </c>
      <c r="Q941" t="s">
        <v>3185</v>
      </c>
    </row>
    <row r="942" spans="1:18" x14ac:dyDescent="0.25">
      <c r="A942">
        <v>1761</v>
      </c>
      <c r="B942" t="s">
        <v>13</v>
      </c>
      <c r="C942" t="s">
        <v>2661</v>
      </c>
      <c r="D942" t="s">
        <v>219</v>
      </c>
      <c r="E942" s="5">
        <v>1343</v>
      </c>
      <c r="F942" t="s">
        <v>1082</v>
      </c>
      <c r="G942">
        <v>26</v>
      </c>
      <c r="H942" t="s">
        <v>3183</v>
      </c>
      <c r="I942" t="s">
        <v>3184</v>
      </c>
      <c r="Q942" t="s">
        <v>3182</v>
      </c>
    </row>
    <row r="943" spans="1:18" x14ac:dyDescent="0.25">
      <c r="A943">
        <v>1761</v>
      </c>
      <c r="B943" t="s">
        <v>13</v>
      </c>
      <c r="C943" t="s">
        <v>2661</v>
      </c>
      <c r="D943" t="s">
        <v>219</v>
      </c>
      <c r="E943" s="5">
        <v>1343</v>
      </c>
      <c r="F943" t="s">
        <v>1082</v>
      </c>
      <c r="G943">
        <v>26</v>
      </c>
      <c r="H943" t="s">
        <v>3183</v>
      </c>
      <c r="I943" t="s">
        <v>3184</v>
      </c>
      <c r="Q943" t="s">
        <v>3182</v>
      </c>
    </row>
    <row r="944" spans="1:18" x14ac:dyDescent="0.25">
      <c r="A944">
        <v>1761</v>
      </c>
      <c r="B944" t="s">
        <v>13</v>
      </c>
      <c r="C944" t="s">
        <v>2661</v>
      </c>
      <c r="D944" t="s">
        <v>219</v>
      </c>
      <c r="E944" s="5">
        <v>1343</v>
      </c>
      <c r="F944" t="s">
        <v>1082</v>
      </c>
      <c r="G944">
        <v>26</v>
      </c>
      <c r="H944" t="s">
        <v>3187</v>
      </c>
      <c r="J944" t="s">
        <v>3188</v>
      </c>
      <c r="Q944" t="s">
        <v>3182</v>
      </c>
    </row>
    <row r="945" spans="1:17" x14ac:dyDescent="0.25">
      <c r="A945">
        <v>1761</v>
      </c>
      <c r="B945" t="s">
        <v>13</v>
      </c>
      <c r="C945" t="s">
        <v>2661</v>
      </c>
      <c r="D945" t="s">
        <v>219</v>
      </c>
      <c r="E945" s="5">
        <v>1343</v>
      </c>
      <c r="F945" t="s">
        <v>1082</v>
      </c>
      <c r="G945">
        <v>26</v>
      </c>
      <c r="H945" t="s">
        <v>645</v>
      </c>
      <c r="J945" t="s">
        <v>3179</v>
      </c>
      <c r="K945" t="s">
        <v>3180</v>
      </c>
    </row>
    <row r="946" spans="1:17" x14ac:dyDescent="0.25">
      <c r="A946">
        <v>1761</v>
      </c>
      <c r="B946" t="s">
        <v>13</v>
      </c>
      <c r="C946" t="s">
        <v>2661</v>
      </c>
      <c r="D946" t="s">
        <v>219</v>
      </c>
      <c r="E946" s="5">
        <v>1343</v>
      </c>
      <c r="F946" t="s">
        <v>1082</v>
      </c>
      <c r="G946">
        <v>26</v>
      </c>
      <c r="H946" t="s">
        <v>725</v>
      </c>
      <c r="J946" t="s">
        <v>3945</v>
      </c>
      <c r="K946" t="s">
        <v>3177</v>
      </c>
      <c r="L946" t="s">
        <v>380</v>
      </c>
    </row>
    <row r="947" spans="1:17" x14ac:dyDescent="0.25">
      <c r="A947">
        <v>1761</v>
      </c>
      <c r="B947" t="s">
        <v>13</v>
      </c>
      <c r="C947" t="s">
        <v>2661</v>
      </c>
      <c r="D947" t="s">
        <v>219</v>
      </c>
      <c r="E947" s="5">
        <v>1343</v>
      </c>
      <c r="F947" t="s">
        <v>1082</v>
      </c>
      <c r="G947">
        <v>26</v>
      </c>
      <c r="H947" s="8" t="s">
        <v>398</v>
      </c>
      <c r="J947" t="s">
        <v>3189</v>
      </c>
      <c r="Q947" t="s">
        <v>3197</v>
      </c>
    </row>
    <row r="948" spans="1:17" x14ac:dyDescent="0.25">
      <c r="A948">
        <v>1761</v>
      </c>
      <c r="B948" t="s">
        <v>13</v>
      </c>
      <c r="C948" t="s">
        <v>2661</v>
      </c>
      <c r="D948" t="s">
        <v>219</v>
      </c>
      <c r="E948" s="5">
        <v>1343</v>
      </c>
      <c r="F948" t="s">
        <v>1082</v>
      </c>
      <c r="G948">
        <v>26</v>
      </c>
      <c r="H948" s="8" t="s">
        <v>398</v>
      </c>
      <c r="J948" t="s">
        <v>3190</v>
      </c>
      <c r="K948" t="s">
        <v>3191</v>
      </c>
      <c r="L948" t="s">
        <v>3192</v>
      </c>
      <c r="Q948" t="s">
        <v>3198</v>
      </c>
    </row>
    <row r="949" spans="1:17" x14ac:dyDescent="0.25">
      <c r="A949">
        <v>1761</v>
      </c>
      <c r="B949" t="s">
        <v>13</v>
      </c>
      <c r="C949" t="s">
        <v>2661</v>
      </c>
      <c r="D949" t="s">
        <v>219</v>
      </c>
      <c r="E949" s="5">
        <v>1343</v>
      </c>
      <c r="F949" t="s">
        <v>1082</v>
      </c>
      <c r="G949">
        <v>26</v>
      </c>
      <c r="H949" t="s">
        <v>1683</v>
      </c>
      <c r="K949" t="s">
        <v>3180</v>
      </c>
      <c r="Q949" t="s">
        <v>3178</v>
      </c>
    </row>
    <row r="950" spans="1:17" x14ac:dyDescent="0.25">
      <c r="A950">
        <v>1761</v>
      </c>
      <c r="B950" t="s">
        <v>13</v>
      </c>
      <c r="C950" t="s">
        <v>2661</v>
      </c>
      <c r="D950" t="s">
        <v>219</v>
      </c>
      <c r="E950" s="5">
        <v>1343</v>
      </c>
      <c r="F950" t="s">
        <v>1082</v>
      </c>
      <c r="G950">
        <v>26</v>
      </c>
      <c r="H950" s="8" t="s">
        <v>398</v>
      </c>
      <c r="Q950" t="s">
        <v>3196</v>
      </c>
    </row>
    <row r="951" spans="1:17" x14ac:dyDescent="0.25">
      <c r="A951">
        <v>1762</v>
      </c>
      <c r="B951" t="s">
        <v>19</v>
      </c>
      <c r="C951" t="s">
        <v>1914</v>
      </c>
      <c r="D951" t="s">
        <v>219</v>
      </c>
      <c r="E951" s="5">
        <v>1343</v>
      </c>
      <c r="F951" t="s">
        <v>1097</v>
      </c>
      <c r="G951">
        <v>1</v>
      </c>
      <c r="H951" s="8" t="s">
        <v>398</v>
      </c>
      <c r="I951" t="s">
        <v>3205</v>
      </c>
      <c r="J951" t="s">
        <v>3204</v>
      </c>
      <c r="K951" t="s">
        <v>3206</v>
      </c>
      <c r="Q951" t="s">
        <v>1654</v>
      </c>
    </row>
    <row r="952" spans="1:17" x14ac:dyDescent="0.25">
      <c r="A952">
        <v>1762</v>
      </c>
      <c r="B952" t="s">
        <v>19</v>
      </c>
      <c r="C952" t="s">
        <v>1914</v>
      </c>
      <c r="D952" t="s">
        <v>219</v>
      </c>
      <c r="E952" s="5">
        <v>1343</v>
      </c>
      <c r="F952" t="s">
        <v>1097</v>
      </c>
      <c r="G952">
        <v>1</v>
      </c>
      <c r="H952" s="8" t="s">
        <v>398</v>
      </c>
      <c r="I952" t="s">
        <v>3208</v>
      </c>
      <c r="J952" t="s">
        <v>3207</v>
      </c>
      <c r="K952" t="s">
        <v>3206</v>
      </c>
      <c r="L952" t="s">
        <v>3209</v>
      </c>
    </row>
    <row r="953" spans="1:17" x14ac:dyDescent="0.25">
      <c r="A953">
        <v>1771</v>
      </c>
      <c r="B953" t="s">
        <v>3216</v>
      </c>
      <c r="C953" t="s">
        <v>3218</v>
      </c>
      <c r="D953" t="s">
        <v>3219</v>
      </c>
      <c r="E953" s="5">
        <v>1343</v>
      </c>
      <c r="F953" t="s">
        <v>1097</v>
      </c>
      <c r="G953">
        <v>5</v>
      </c>
      <c r="H953" t="s">
        <v>1153</v>
      </c>
      <c r="I953" t="s">
        <v>3220</v>
      </c>
      <c r="K953" t="s">
        <v>3222</v>
      </c>
      <c r="L953" t="s">
        <v>3223</v>
      </c>
      <c r="M953" t="s">
        <v>3224</v>
      </c>
      <c r="N953" t="s">
        <v>3225</v>
      </c>
    </row>
    <row r="954" spans="1:17" x14ac:dyDescent="0.25">
      <c r="A954">
        <v>1771</v>
      </c>
      <c r="B954" t="s">
        <v>3216</v>
      </c>
      <c r="C954" t="s">
        <v>3218</v>
      </c>
      <c r="D954" t="s">
        <v>3219</v>
      </c>
      <c r="E954" s="5">
        <v>1343</v>
      </c>
      <c r="F954" t="s">
        <v>1097</v>
      </c>
      <c r="G954">
        <v>5</v>
      </c>
      <c r="H954" s="8" t="s">
        <v>417</v>
      </c>
      <c r="J954" t="s">
        <v>3221</v>
      </c>
    </row>
    <row r="955" spans="1:17" x14ac:dyDescent="0.25">
      <c r="A955">
        <v>1771</v>
      </c>
      <c r="B955" t="s">
        <v>3216</v>
      </c>
      <c r="C955" t="s">
        <v>3218</v>
      </c>
      <c r="D955" t="s">
        <v>3219</v>
      </c>
      <c r="E955" s="5">
        <v>1343</v>
      </c>
      <c r="F955" t="s">
        <v>1097</v>
      </c>
      <c r="G955">
        <v>5</v>
      </c>
      <c r="H955" t="s">
        <v>3226</v>
      </c>
      <c r="J955" t="s">
        <v>3227</v>
      </c>
      <c r="K955" t="s">
        <v>3228</v>
      </c>
      <c r="L955" t="s">
        <v>3016</v>
      </c>
      <c r="M955" t="s">
        <v>3229</v>
      </c>
    </row>
    <row r="956" spans="1:17" x14ac:dyDescent="0.25">
      <c r="A956">
        <v>1772</v>
      </c>
      <c r="B956" t="s">
        <v>3216</v>
      </c>
      <c r="C956" t="s">
        <v>77</v>
      </c>
      <c r="D956" t="s">
        <v>3219</v>
      </c>
      <c r="E956" s="5">
        <v>1343</v>
      </c>
      <c r="F956" t="s">
        <v>1097</v>
      </c>
      <c r="G956">
        <v>8</v>
      </c>
      <c r="H956" s="8" t="s">
        <v>398</v>
      </c>
      <c r="J956" t="s">
        <v>3238</v>
      </c>
      <c r="K956" t="s">
        <v>3239</v>
      </c>
      <c r="L956" t="s">
        <v>3236</v>
      </c>
    </row>
    <row r="957" spans="1:17" x14ac:dyDescent="0.25">
      <c r="A957">
        <v>1772</v>
      </c>
      <c r="B957" t="s">
        <v>3216</v>
      </c>
      <c r="C957" t="s">
        <v>77</v>
      </c>
      <c r="D957" t="s">
        <v>3219</v>
      </c>
      <c r="E957" s="5">
        <v>1343</v>
      </c>
      <c r="F957" t="s">
        <v>1097</v>
      </c>
      <c r="G957">
        <v>8</v>
      </c>
      <c r="H957" t="s">
        <v>679</v>
      </c>
      <c r="J957" t="s">
        <v>3234</v>
      </c>
      <c r="K957" t="s">
        <v>563</v>
      </c>
      <c r="L957" t="s">
        <v>3235</v>
      </c>
      <c r="M957" t="s">
        <v>3236</v>
      </c>
      <c r="N957" t="s">
        <v>3237</v>
      </c>
    </row>
    <row r="958" spans="1:17" x14ac:dyDescent="0.25">
      <c r="A958">
        <v>1772</v>
      </c>
      <c r="B958" t="s">
        <v>3216</v>
      </c>
      <c r="C958" t="s">
        <v>77</v>
      </c>
      <c r="D958" t="s">
        <v>3219</v>
      </c>
      <c r="E958" s="5">
        <v>1343</v>
      </c>
      <c r="F958" t="s">
        <v>1097</v>
      </c>
      <c r="G958">
        <v>8</v>
      </c>
      <c r="H958" s="8" t="s">
        <v>417</v>
      </c>
      <c r="J958" t="s">
        <v>3234</v>
      </c>
      <c r="K958" t="s">
        <v>563</v>
      </c>
      <c r="L958" t="s">
        <v>3235</v>
      </c>
      <c r="M958" t="s">
        <v>3236</v>
      </c>
      <c r="N958" t="s">
        <v>3237</v>
      </c>
    </row>
    <row r="959" spans="1:17" x14ac:dyDescent="0.25">
      <c r="A959">
        <v>1773</v>
      </c>
      <c r="B959" t="s">
        <v>23</v>
      </c>
      <c r="C959" t="s">
        <v>115</v>
      </c>
      <c r="D959" t="s">
        <v>219</v>
      </c>
      <c r="E959" s="5">
        <v>1343</v>
      </c>
      <c r="F959" t="s">
        <v>1097</v>
      </c>
      <c r="G959">
        <v>8</v>
      </c>
      <c r="H959" t="s">
        <v>3245</v>
      </c>
      <c r="J959" t="s">
        <v>3904</v>
      </c>
      <c r="Q959" t="s">
        <v>3246</v>
      </c>
    </row>
    <row r="960" spans="1:17" x14ac:dyDescent="0.25">
      <c r="A960">
        <v>1781</v>
      </c>
      <c r="B960" t="s">
        <v>465</v>
      </c>
      <c r="C960" t="s">
        <v>77</v>
      </c>
      <c r="D960" t="s">
        <v>219</v>
      </c>
      <c r="E960" s="5">
        <v>1343</v>
      </c>
      <c r="F960" t="s">
        <v>1097</v>
      </c>
      <c r="G960">
        <v>21</v>
      </c>
      <c r="H960" s="8" t="s">
        <v>417</v>
      </c>
      <c r="J960" t="s">
        <v>3234</v>
      </c>
      <c r="K960" t="s">
        <v>3253</v>
      </c>
      <c r="L960" t="s">
        <v>3254</v>
      </c>
      <c r="M960" t="s">
        <v>3255</v>
      </c>
    </row>
    <row r="961" spans="1:17" x14ac:dyDescent="0.25">
      <c r="A961">
        <v>1782</v>
      </c>
      <c r="B961" t="s">
        <v>465</v>
      </c>
      <c r="C961" t="s">
        <v>77</v>
      </c>
      <c r="D961" t="s">
        <v>219</v>
      </c>
      <c r="E961" s="5">
        <v>1343</v>
      </c>
      <c r="F961" t="s">
        <v>1097</v>
      </c>
      <c r="G961">
        <v>21</v>
      </c>
      <c r="H961" s="8" t="s">
        <v>417</v>
      </c>
      <c r="J961" t="s">
        <v>3234</v>
      </c>
      <c r="K961" t="s">
        <v>3256</v>
      </c>
      <c r="L961" t="s">
        <v>3257</v>
      </c>
    </row>
    <row r="962" spans="1:17" x14ac:dyDescent="0.25">
      <c r="A962">
        <v>1782</v>
      </c>
      <c r="B962" t="s">
        <v>465</v>
      </c>
      <c r="C962" t="s">
        <v>77</v>
      </c>
      <c r="D962" t="s">
        <v>219</v>
      </c>
      <c r="E962" s="5">
        <v>1343</v>
      </c>
      <c r="F962" t="s">
        <v>1097</v>
      </c>
      <c r="G962">
        <v>21</v>
      </c>
      <c r="H962" s="8" t="s">
        <v>398</v>
      </c>
      <c r="J962" t="s">
        <v>3258</v>
      </c>
      <c r="K962" t="s">
        <v>3259</v>
      </c>
      <c r="L962" t="s">
        <v>3260</v>
      </c>
    </row>
    <row r="963" spans="1:17" x14ac:dyDescent="0.25">
      <c r="A963">
        <v>1782</v>
      </c>
      <c r="B963" t="s">
        <v>465</v>
      </c>
      <c r="C963" t="s">
        <v>77</v>
      </c>
      <c r="D963" t="s">
        <v>219</v>
      </c>
      <c r="E963" s="5">
        <v>1343</v>
      </c>
      <c r="F963" t="s">
        <v>1097</v>
      </c>
      <c r="G963">
        <v>21</v>
      </c>
      <c r="H963" t="s">
        <v>679</v>
      </c>
      <c r="K963" t="s">
        <v>2946</v>
      </c>
    </row>
    <row r="964" spans="1:17" x14ac:dyDescent="0.25">
      <c r="A964">
        <v>1791</v>
      </c>
      <c r="B964" t="s">
        <v>465</v>
      </c>
      <c r="C964" t="s">
        <v>3267</v>
      </c>
      <c r="D964" t="s">
        <v>219</v>
      </c>
      <c r="E964" s="5">
        <v>1343</v>
      </c>
      <c r="F964" t="s">
        <v>265</v>
      </c>
      <c r="G964">
        <v>7</v>
      </c>
      <c r="H964" s="8" t="s">
        <v>417</v>
      </c>
      <c r="I964" t="s">
        <v>3278</v>
      </c>
      <c r="K964" t="s">
        <v>3271</v>
      </c>
      <c r="L964" t="s">
        <v>3279</v>
      </c>
    </row>
    <row r="965" spans="1:17" x14ac:dyDescent="0.25">
      <c r="A965">
        <v>1791</v>
      </c>
      <c r="B965" t="s">
        <v>465</v>
      </c>
      <c r="C965" t="s">
        <v>3267</v>
      </c>
      <c r="D965" t="s">
        <v>219</v>
      </c>
      <c r="E965" s="5">
        <v>1343</v>
      </c>
      <c r="F965" t="s">
        <v>265</v>
      </c>
      <c r="G965">
        <v>7</v>
      </c>
      <c r="H965" s="8" t="s">
        <v>398</v>
      </c>
      <c r="I965" t="s">
        <v>3099</v>
      </c>
      <c r="K965" t="s">
        <v>3273</v>
      </c>
      <c r="L965" t="s">
        <v>3274</v>
      </c>
    </row>
    <row r="966" spans="1:17" x14ac:dyDescent="0.25">
      <c r="A966">
        <v>1791</v>
      </c>
      <c r="B966" t="s">
        <v>465</v>
      </c>
      <c r="C966" t="s">
        <v>3267</v>
      </c>
      <c r="D966" t="s">
        <v>219</v>
      </c>
      <c r="E966" s="5">
        <v>1343</v>
      </c>
      <c r="F966" t="s">
        <v>265</v>
      </c>
      <c r="G966">
        <v>7</v>
      </c>
      <c r="H966" t="s">
        <v>645</v>
      </c>
      <c r="I966" t="s">
        <v>3277</v>
      </c>
      <c r="K966" t="s">
        <v>3276</v>
      </c>
      <c r="L966" t="s">
        <v>3272</v>
      </c>
    </row>
    <row r="967" spans="1:17" x14ac:dyDescent="0.25">
      <c r="A967">
        <v>1791</v>
      </c>
      <c r="B967" t="s">
        <v>465</v>
      </c>
      <c r="C967" t="s">
        <v>3267</v>
      </c>
      <c r="D967" t="s">
        <v>219</v>
      </c>
      <c r="E967" s="5">
        <v>1343</v>
      </c>
      <c r="F967" t="s">
        <v>265</v>
      </c>
      <c r="G967">
        <v>7</v>
      </c>
      <c r="H967" s="8" t="s">
        <v>398</v>
      </c>
      <c r="I967" t="s">
        <v>2805</v>
      </c>
      <c r="K967" t="s">
        <v>3274</v>
      </c>
      <c r="L967" t="s">
        <v>3275</v>
      </c>
    </row>
    <row r="968" spans="1:17" x14ac:dyDescent="0.25">
      <c r="A968">
        <v>1791</v>
      </c>
      <c r="B968" t="s">
        <v>465</v>
      </c>
      <c r="C968" t="s">
        <v>3267</v>
      </c>
      <c r="D968" t="s">
        <v>219</v>
      </c>
      <c r="E968" s="5">
        <v>1343</v>
      </c>
      <c r="F968" t="s">
        <v>265</v>
      </c>
      <c r="G968">
        <v>7</v>
      </c>
      <c r="H968" t="s">
        <v>3269</v>
      </c>
      <c r="J968" t="s">
        <v>3270</v>
      </c>
      <c r="K968" t="s">
        <v>3271</v>
      </c>
      <c r="L968" t="s">
        <v>3272</v>
      </c>
    </row>
    <row r="969" spans="1:17" x14ac:dyDescent="0.25">
      <c r="A969">
        <v>1792</v>
      </c>
      <c r="B969" t="s">
        <v>23</v>
      </c>
      <c r="C969" t="s">
        <v>3905</v>
      </c>
      <c r="D969" t="s">
        <v>219</v>
      </c>
      <c r="E969" s="5">
        <v>1343</v>
      </c>
      <c r="F969" t="s">
        <v>265</v>
      </c>
      <c r="G969">
        <v>13</v>
      </c>
      <c r="H969" s="8" t="s">
        <v>398</v>
      </c>
      <c r="I969" t="s">
        <v>3291</v>
      </c>
      <c r="K969" t="s">
        <v>3287</v>
      </c>
      <c r="L969" t="s">
        <v>3292</v>
      </c>
      <c r="M969" t="s">
        <v>3293</v>
      </c>
    </row>
    <row r="970" spans="1:17" x14ac:dyDescent="0.25">
      <c r="A970">
        <v>1792</v>
      </c>
      <c r="B970" t="s">
        <v>23</v>
      </c>
      <c r="C970" t="s">
        <v>3905</v>
      </c>
      <c r="D970" t="s">
        <v>219</v>
      </c>
      <c r="E970" s="5">
        <v>1343</v>
      </c>
      <c r="F970" t="s">
        <v>265</v>
      </c>
      <c r="G970">
        <v>13</v>
      </c>
      <c r="H970" t="s">
        <v>3295</v>
      </c>
      <c r="I970" t="s">
        <v>1901</v>
      </c>
    </row>
    <row r="971" spans="1:17" x14ac:dyDescent="0.25">
      <c r="A971">
        <v>1792</v>
      </c>
      <c r="B971" t="s">
        <v>23</v>
      </c>
      <c r="C971" t="s">
        <v>3905</v>
      </c>
      <c r="D971" t="s">
        <v>219</v>
      </c>
      <c r="E971" s="5">
        <v>1343</v>
      </c>
      <c r="F971" t="s">
        <v>265</v>
      </c>
      <c r="G971">
        <v>13</v>
      </c>
      <c r="H971" s="5" t="s">
        <v>540</v>
      </c>
      <c r="J971" t="s">
        <v>3283</v>
      </c>
    </row>
    <row r="972" spans="1:17" x14ac:dyDescent="0.25">
      <c r="A972">
        <v>1792</v>
      </c>
      <c r="B972" t="s">
        <v>23</v>
      </c>
      <c r="C972" t="s">
        <v>3905</v>
      </c>
      <c r="D972" t="s">
        <v>219</v>
      </c>
      <c r="E972" s="5">
        <v>1343</v>
      </c>
      <c r="F972" t="s">
        <v>265</v>
      </c>
      <c r="G972">
        <v>13</v>
      </c>
      <c r="H972" t="s">
        <v>833</v>
      </c>
      <c r="J972" t="s">
        <v>3285</v>
      </c>
      <c r="K972" t="s">
        <v>3286</v>
      </c>
      <c r="L972" t="s">
        <v>3287</v>
      </c>
      <c r="M972" t="s">
        <v>3288</v>
      </c>
      <c r="N972" t="s">
        <v>3289</v>
      </c>
      <c r="O972" t="s">
        <v>3290</v>
      </c>
    </row>
    <row r="973" spans="1:17" x14ac:dyDescent="0.25">
      <c r="A973">
        <v>1801</v>
      </c>
      <c r="B973" t="s">
        <v>3299</v>
      </c>
      <c r="C973" t="s">
        <v>3905</v>
      </c>
      <c r="D973" t="s">
        <v>219</v>
      </c>
      <c r="E973" s="5">
        <v>1343</v>
      </c>
      <c r="F973" t="s">
        <v>265</v>
      </c>
      <c r="G973">
        <v>13</v>
      </c>
      <c r="H973" t="s">
        <v>621</v>
      </c>
      <c r="I973" t="s">
        <v>3302</v>
      </c>
      <c r="K973" t="s">
        <v>3303</v>
      </c>
      <c r="L973" t="s">
        <v>3304</v>
      </c>
      <c r="M973" t="s">
        <v>3307</v>
      </c>
    </row>
    <row r="974" spans="1:17" x14ac:dyDescent="0.25">
      <c r="A974">
        <v>1801</v>
      </c>
      <c r="B974" t="s">
        <v>3299</v>
      </c>
      <c r="C974" t="s">
        <v>3905</v>
      </c>
      <c r="D974" t="s">
        <v>219</v>
      </c>
      <c r="E974" s="5">
        <v>1343</v>
      </c>
      <c r="F974" t="s">
        <v>265</v>
      </c>
      <c r="G974">
        <v>13</v>
      </c>
      <c r="H974" t="s">
        <v>1603</v>
      </c>
      <c r="I974" t="s">
        <v>3301</v>
      </c>
      <c r="K974" t="s">
        <v>3303</v>
      </c>
      <c r="L974" t="s">
        <v>3304</v>
      </c>
      <c r="M974" t="s">
        <v>3307</v>
      </c>
    </row>
    <row r="975" spans="1:17" x14ac:dyDescent="0.25">
      <c r="A975">
        <v>1802</v>
      </c>
      <c r="B975" t="s">
        <v>3311</v>
      </c>
      <c r="C975" t="s">
        <v>3313</v>
      </c>
      <c r="D975" t="s">
        <v>219</v>
      </c>
      <c r="E975" s="5">
        <v>1343</v>
      </c>
      <c r="F975" t="s">
        <v>265</v>
      </c>
      <c r="G975">
        <v>13</v>
      </c>
      <c r="H975" t="s">
        <v>206</v>
      </c>
      <c r="I975" t="s">
        <v>3317</v>
      </c>
    </row>
    <row r="976" spans="1:17" x14ac:dyDescent="0.25">
      <c r="A976">
        <v>1802</v>
      </c>
      <c r="B976" t="s">
        <v>3311</v>
      </c>
      <c r="C976" t="s">
        <v>3313</v>
      </c>
      <c r="D976" t="s">
        <v>219</v>
      </c>
      <c r="E976" s="5">
        <v>1343</v>
      </c>
      <c r="F976" t="s">
        <v>265</v>
      </c>
      <c r="G976">
        <v>13</v>
      </c>
      <c r="H976" t="s">
        <v>1153</v>
      </c>
      <c r="I976" t="s">
        <v>3316</v>
      </c>
      <c r="K976" t="s">
        <v>3319</v>
      </c>
      <c r="L976" t="s">
        <v>3320</v>
      </c>
      <c r="M976" t="s">
        <v>3321</v>
      </c>
      <c r="N976" t="s">
        <v>3322</v>
      </c>
      <c r="O976" t="s">
        <v>3323</v>
      </c>
      <c r="P976" t="s">
        <v>1948</v>
      </c>
      <c r="Q976" t="s">
        <v>3318</v>
      </c>
    </row>
    <row r="977" spans="1:18" x14ac:dyDescent="0.25">
      <c r="A977">
        <v>1803</v>
      </c>
      <c r="B977" t="s">
        <v>13</v>
      </c>
      <c r="C977" t="s">
        <v>1914</v>
      </c>
      <c r="D977" t="s">
        <v>219</v>
      </c>
      <c r="E977" s="5">
        <v>1343</v>
      </c>
      <c r="F977" t="s">
        <v>265</v>
      </c>
      <c r="G977">
        <v>13</v>
      </c>
      <c r="H977" s="8" t="s">
        <v>398</v>
      </c>
      <c r="I977" t="s">
        <v>1937</v>
      </c>
      <c r="J977" t="s">
        <v>3332</v>
      </c>
      <c r="K977" t="s">
        <v>3333</v>
      </c>
      <c r="L977" t="s">
        <v>3334</v>
      </c>
      <c r="M977" t="s">
        <v>3335</v>
      </c>
      <c r="R977" t="s">
        <v>463</v>
      </c>
    </row>
    <row r="978" spans="1:18" x14ac:dyDescent="0.25">
      <c r="A978">
        <v>1811</v>
      </c>
      <c r="B978" t="s">
        <v>13</v>
      </c>
      <c r="C978" t="s">
        <v>1810</v>
      </c>
      <c r="D978" t="s">
        <v>219</v>
      </c>
      <c r="E978" s="5">
        <v>1343</v>
      </c>
      <c r="F978" t="s">
        <v>265</v>
      </c>
      <c r="G978">
        <v>13</v>
      </c>
      <c r="H978" t="s">
        <v>645</v>
      </c>
      <c r="I978" t="s">
        <v>3344</v>
      </c>
      <c r="K978" t="s">
        <v>3345</v>
      </c>
      <c r="L978" t="s">
        <v>3346</v>
      </c>
      <c r="M978" t="s">
        <v>3347</v>
      </c>
    </row>
    <row r="979" spans="1:18" x14ac:dyDescent="0.25">
      <c r="A979">
        <v>1811</v>
      </c>
      <c r="B979" t="s">
        <v>13</v>
      </c>
      <c r="C979" t="s">
        <v>1810</v>
      </c>
      <c r="D979" t="s">
        <v>219</v>
      </c>
      <c r="E979" s="5">
        <v>1343</v>
      </c>
      <c r="F979" t="s">
        <v>265</v>
      </c>
      <c r="G979">
        <v>13</v>
      </c>
      <c r="H979" t="s">
        <v>3226</v>
      </c>
      <c r="I979" t="s">
        <v>3340</v>
      </c>
      <c r="J979" t="s">
        <v>1785</v>
      </c>
      <c r="K979" t="s">
        <v>3341</v>
      </c>
      <c r="L979" t="s">
        <v>3342</v>
      </c>
      <c r="M979" t="s">
        <v>3343</v>
      </c>
    </row>
    <row r="980" spans="1:18" x14ac:dyDescent="0.25">
      <c r="A980">
        <v>1811</v>
      </c>
      <c r="B980" t="s">
        <v>13</v>
      </c>
      <c r="C980" t="s">
        <v>1810</v>
      </c>
      <c r="D980" t="s">
        <v>219</v>
      </c>
      <c r="E980" s="5">
        <v>1343</v>
      </c>
      <c r="F980" t="s">
        <v>265</v>
      </c>
      <c r="G980">
        <v>13</v>
      </c>
      <c r="H980" s="8" t="s">
        <v>398</v>
      </c>
      <c r="I980" t="s">
        <v>3353</v>
      </c>
      <c r="J980" t="s">
        <v>3352</v>
      </c>
      <c r="K980" t="s">
        <v>3354</v>
      </c>
      <c r="L980" t="s">
        <v>3355</v>
      </c>
      <c r="M980" t="s">
        <v>3356</v>
      </c>
    </row>
    <row r="981" spans="1:18" x14ac:dyDescent="0.25">
      <c r="A981">
        <v>1811</v>
      </c>
      <c r="B981" t="s">
        <v>13</v>
      </c>
      <c r="C981" t="s">
        <v>1810</v>
      </c>
      <c r="D981" t="s">
        <v>219</v>
      </c>
      <c r="E981" s="5">
        <v>1343</v>
      </c>
      <c r="F981" t="s">
        <v>265</v>
      </c>
      <c r="G981">
        <v>13</v>
      </c>
      <c r="H981" t="s">
        <v>1683</v>
      </c>
      <c r="J981" t="s">
        <v>3348</v>
      </c>
      <c r="K981" t="s">
        <v>3350</v>
      </c>
      <c r="L981" t="s">
        <v>3351</v>
      </c>
    </row>
    <row r="982" spans="1:18" x14ac:dyDescent="0.25">
      <c r="A982">
        <v>1811</v>
      </c>
      <c r="B982" t="s">
        <v>13</v>
      </c>
      <c r="C982" t="s">
        <v>1810</v>
      </c>
      <c r="D982" t="s">
        <v>219</v>
      </c>
      <c r="E982" s="5">
        <v>1343</v>
      </c>
      <c r="F982" t="s">
        <v>265</v>
      </c>
      <c r="G982">
        <v>13</v>
      </c>
      <c r="H982" s="8" t="s">
        <v>398</v>
      </c>
      <c r="J982" t="s">
        <v>3349</v>
      </c>
      <c r="K982" t="s">
        <v>2901</v>
      </c>
    </row>
    <row r="983" spans="1:18" x14ac:dyDescent="0.25">
      <c r="A983">
        <v>1812</v>
      </c>
      <c r="B983" t="s">
        <v>3360</v>
      </c>
      <c r="C983" t="s">
        <v>1810</v>
      </c>
      <c r="D983" t="s">
        <v>219</v>
      </c>
      <c r="E983" s="5">
        <v>1343</v>
      </c>
      <c r="F983" t="s">
        <v>265</v>
      </c>
      <c r="G983">
        <v>13</v>
      </c>
      <c r="H983" t="s">
        <v>3369</v>
      </c>
      <c r="I983" t="s">
        <v>3363</v>
      </c>
      <c r="J983" t="s">
        <v>3364</v>
      </c>
      <c r="K983" t="s">
        <v>3365</v>
      </c>
      <c r="L983" t="s">
        <v>3366</v>
      </c>
      <c r="M983" t="s">
        <v>3367</v>
      </c>
      <c r="N983" t="s">
        <v>3368</v>
      </c>
    </row>
    <row r="984" spans="1:18" x14ac:dyDescent="0.25">
      <c r="A984">
        <v>1813</v>
      </c>
      <c r="B984" t="s">
        <v>1850</v>
      </c>
      <c r="C984" t="s">
        <v>2830</v>
      </c>
      <c r="D984" t="s">
        <v>219</v>
      </c>
      <c r="E984" s="5">
        <v>1343</v>
      </c>
      <c r="F984" t="s">
        <v>265</v>
      </c>
      <c r="G984">
        <v>13</v>
      </c>
      <c r="H984" t="s">
        <v>3377</v>
      </c>
      <c r="I984" t="s">
        <v>3378</v>
      </c>
      <c r="K984" t="s">
        <v>3379</v>
      </c>
      <c r="L984" t="s">
        <v>3380</v>
      </c>
    </row>
    <row r="985" spans="1:18" x14ac:dyDescent="0.25">
      <c r="A985">
        <v>1813</v>
      </c>
      <c r="B985" t="s">
        <v>1850</v>
      </c>
      <c r="C985" t="s">
        <v>2830</v>
      </c>
      <c r="D985" t="s">
        <v>219</v>
      </c>
      <c r="E985" s="5">
        <v>1343</v>
      </c>
      <c r="F985" t="s">
        <v>265</v>
      </c>
      <c r="G985">
        <v>13</v>
      </c>
      <c r="H985" t="s">
        <v>2467</v>
      </c>
      <c r="I985" t="s">
        <v>2856</v>
      </c>
      <c r="K985" t="s">
        <v>3376</v>
      </c>
      <c r="L985" t="s">
        <v>3815</v>
      </c>
    </row>
    <row r="986" spans="1:18" x14ac:dyDescent="0.25">
      <c r="A986">
        <v>1821</v>
      </c>
      <c r="B986" t="s">
        <v>107</v>
      </c>
      <c r="C986" t="s">
        <v>1914</v>
      </c>
      <c r="D986" t="s">
        <v>219</v>
      </c>
      <c r="E986" s="5">
        <v>1343</v>
      </c>
      <c r="G986" s="27" t="s">
        <v>3386</v>
      </c>
      <c r="H986" t="s">
        <v>3390</v>
      </c>
      <c r="J986" t="s">
        <v>3391</v>
      </c>
      <c r="K986" t="s">
        <v>3392</v>
      </c>
    </row>
    <row r="987" spans="1:18" x14ac:dyDescent="0.25">
      <c r="A987">
        <v>1822</v>
      </c>
      <c r="B987" t="s">
        <v>165</v>
      </c>
      <c r="C987" t="s">
        <v>3394</v>
      </c>
      <c r="D987" t="s">
        <v>219</v>
      </c>
      <c r="E987" s="5">
        <v>1343</v>
      </c>
      <c r="G987" s="27" t="s">
        <v>3386</v>
      </c>
      <c r="H987" t="s">
        <v>1683</v>
      </c>
      <c r="J987" t="s">
        <v>3397</v>
      </c>
      <c r="K987" t="s">
        <v>3398</v>
      </c>
      <c r="L987" t="s">
        <v>3399</v>
      </c>
    </row>
    <row r="988" spans="1:18" x14ac:dyDescent="0.25">
      <c r="A988">
        <v>1822</v>
      </c>
      <c r="B988" t="s">
        <v>165</v>
      </c>
      <c r="C988" t="s">
        <v>3394</v>
      </c>
      <c r="D988" t="s">
        <v>219</v>
      </c>
      <c r="E988" s="5">
        <v>1343</v>
      </c>
      <c r="G988" s="27" t="s">
        <v>3386</v>
      </c>
      <c r="H988" t="s">
        <v>1683</v>
      </c>
      <c r="J988" t="s">
        <v>3400</v>
      </c>
      <c r="K988" t="s">
        <v>3401</v>
      </c>
      <c r="L988" t="s">
        <v>3402</v>
      </c>
    </row>
    <row r="989" spans="1:18" x14ac:dyDescent="0.25">
      <c r="A989">
        <v>1823</v>
      </c>
      <c r="B989" t="s">
        <v>164</v>
      </c>
      <c r="C989" t="s">
        <v>3394</v>
      </c>
      <c r="D989" t="s">
        <v>219</v>
      </c>
      <c r="E989" s="5">
        <v>1343</v>
      </c>
      <c r="G989" s="27" t="s">
        <v>3386</v>
      </c>
      <c r="H989" t="s">
        <v>1683</v>
      </c>
      <c r="J989" t="s">
        <v>3407</v>
      </c>
      <c r="K989" t="s">
        <v>3408</v>
      </c>
      <c r="L989" t="s">
        <v>3409</v>
      </c>
    </row>
    <row r="990" spans="1:18" x14ac:dyDescent="0.25">
      <c r="A990">
        <v>1824</v>
      </c>
      <c r="B990" t="s">
        <v>465</v>
      </c>
      <c r="C990" t="s">
        <v>3394</v>
      </c>
      <c r="D990" t="s">
        <v>219</v>
      </c>
      <c r="E990" s="5">
        <v>1343</v>
      </c>
      <c r="G990" s="27" t="s">
        <v>3386</v>
      </c>
      <c r="H990" t="s">
        <v>389</v>
      </c>
      <c r="J990" t="s">
        <v>3411</v>
      </c>
      <c r="K990" t="s">
        <v>3398</v>
      </c>
      <c r="L990" t="s">
        <v>3412</v>
      </c>
      <c r="M990" t="s">
        <v>3413</v>
      </c>
    </row>
    <row r="991" spans="1:18" x14ac:dyDescent="0.25">
      <c r="A991">
        <v>1831</v>
      </c>
      <c r="B991" t="s">
        <v>37</v>
      </c>
      <c r="C991" t="s">
        <v>2653</v>
      </c>
      <c r="D991" t="s">
        <v>219</v>
      </c>
      <c r="E991" s="5">
        <v>1343</v>
      </c>
      <c r="G991" s="27" t="s">
        <v>3386</v>
      </c>
      <c r="H991" s="8" t="s">
        <v>398</v>
      </c>
      <c r="I991" t="s">
        <v>3416</v>
      </c>
      <c r="K991" t="s">
        <v>380</v>
      </c>
      <c r="L991" t="s">
        <v>3417</v>
      </c>
    </row>
    <row r="992" spans="1:18" x14ac:dyDescent="0.25">
      <c r="A992">
        <v>1831</v>
      </c>
      <c r="B992" t="s">
        <v>37</v>
      </c>
      <c r="C992" t="s">
        <v>2653</v>
      </c>
      <c r="D992" t="s">
        <v>219</v>
      </c>
      <c r="E992" s="5">
        <v>1343</v>
      </c>
      <c r="G992" s="27" t="s">
        <v>3386</v>
      </c>
      <c r="H992" t="s">
        <v>2478</v>
      </c>
      <c r="I992" t="s">
        <v>1901</v>
      </c>
    </row>
    <row r="993" spans="1:17" x14ac:dyDescent="0.25">
      <c r="A993">
        <v>1831</v>
      </c>
      <c r="B993" t="s">
        <v>37</v>
      </c>
      <c r="C993" t="s">
        <v>2653</v>
      </c>
      <c r="D993" t="s">
        <v>219</v>
      </c>
      <c r="E993" s="5">
        <v>1343</v>
      </c>
      <c r="G993" s="27" t="s">
        <v>3386</v>
      </c>
      <c r="H993" t="s">
        <v>711</v>
      </c>
      <c r="J993" t="s">
        <v>1100</v>
      </c>
    </row>
    <row r="994" spans="1:17" x14ac:dyDescent="0.25">
      <c r="A994">
        <v>1831</v>
      </c>
      <c r="B994" t="s">
        <v>37</v>
      </c>
      <c r="C994" t="s">
        <v>2653</v>
      </c>
      <c r="D994" t="s">
        <v>219</v>
      </c>
      <c r="E994" s="5">
        <v>1343</v>
      </c>
      <c r="G994" s="27" t="s">
        <v>3386</v>
      </c>
      <c r="H994" t="s">
        <v>3618</v>
      </c>
      <c r="J994" t="s">
        <v>3419</v>
      </c>
      <c r="K994" t="s">
        <v>3420</v>
      </c>
    </row>
    <row r="995" spans="1:17" x14ac:dyDescent="0.25">
      <c r="A995">
        <v>1832</v>
      </c>
      <c r="B995" t="s">
        <v>19</v>
      </c>
      <c r="C995" t="s">
        <v>1914</v>
      </c>
      <c r="D995" t="s">
        <v>219</v>
      </c>
      <c r="E995" s="5">
        <v>1344</v>
      </c>
      <c r="F995" t="s">
        <v>265</v>
      </c>
      <c r="G995">
        <v>24</v>
      </c>
      <c r="H995" s="8" t="s">
        <v>417</v>
      </c>
      <c r="I995" t="s">
        <v>3378</v>
      </c>
    </row>
    <row r="996" spans="1:17" x14ac:dyDescent="0.25">
      <c r="A996">
        <v>1832</v>
      </c>
      <c r="B996" t="s">
        <v>19</v>
      </c>
      <c r="C996" t="s">
        <v>1914</v>
      </c>
      <c r="D996" t="s">
        <v>219</v>
      </c>
      <c r="E996" s="5">
        <v>1344</v>
      </c>
      <c r="F996" t="s">
        <v>265</v>
      </c>
      <c r="G996">
        <v>24</v>
      </c>
      <c r="H996" s="8" t="s">
        <v>417</v>
      </c>
      <c r="I996" t="s">
        <v>3428</v>
      </c>
      <c r="K996" t="s">
        <v>3429</v>
      </c>
    </row>
    <row r="997" spans="1:17" x14ac:dyDescent="0.25">
      <c r="A997">
        <v>1832</v>
      </c>
      <c r="B997" t="s">
        <v>19</v>
      </c>
      <c r="C997" t="s">
        <v>1914</v>
      </c>
      <c r="D997" t="s">
        <v>219</v>
      </c>
      <c r="E997" s="5">
        <v>1344</v>
      </c>
      <c r="F997" t="s">
        <v>265</v>
      </c>
      <c r="G997">
        <v>24</v>
      </c>
      <c r="H997" s="8" t="s">
        <v>398</v>
      </c>
      <c r="I997" t="s">
        <v>3438</v>
      </c>
    </row>
    <row r="998" spans="1:17" x14ac:dyDescent="0.25">
      <c r="A998">
        <v>1832</v>
      </c>
      <c r="B998" t="s">
        <v>19</v>
      </c>
      <c r="C998" t="s">
        <v>1914</v>
      </c>
      <c r="D998" t="s">
        <v>219</v>
      </c>
      <c r="E998" s="5">
        <v>1344</v>
      </c>
      <c r="F998" t="s">
        <v>265</v>
      </c>
      <c r="G998">
        <v>24</v>
      </c>
      <c r="H998" s="8" t="s">
        <v>398</v>
      </c>
      <c r="I998" t="s">
        <v>1987</v>
      </c>
      <c r="K998" t="s">
        <v>3437</v>
      </c>
    </row>
    <row r="999" spans="1:17" x14ac:dyDescent="0.25">
      <c r="A999">
        <v>1832</v>
      </c>
      <c r="B999" t="s">
        <v>19</v>
      </c>
      <c r="C999" t="s">
        <v>1914</v>
      </c>
      <c r="D999" t="s">
        <v>219</v>
      </c>
      <c r="E999" s="5">
        <v>1344</v>
      </c>
      <c r="F999" t="s">
        <v>265</v>
      </c>
      <c r="G999">
        <v>24</v>
      </c>
      <c r="H999" t="s">
        <v>2478</v>
      </c>
      <c r="I999" t="s">
        <v>3445</v>
      </c>
    </row>
    <row r="1000" spans="1:17" x14ac:dyDescent="0.25">
      <c r="A1000">
        <v>1832</v>
      </c>
      <c r="B1000" t="s">
        <v>19</v>
      </c>
      <c r="C1000" t="s">
        <v>1914</v>
      </c>
      <c r="D1000" t="s">
        <v>219</v>
      </c>
      <c r="E1000" s="5">
        <v>1344</v>
      </c>
      <c r="F1000" t="s">
        <v>265</v>
      </c>
      <c r="G1000">
        <v>24</v>
      </c>
      <c r="H1000" t="s">
        <v>2478</v>
      </c>
      <c r="I1000" t="s">
        <v>3445</v>
      </c>
    </row>
    <row r="1001" spans="1:17" x14ac:dyDescent="0.25">
      <c r="A1001">
        <v>1832</v>
      </c>
      <c r="B1001" t="s">
        <v>19</v>
      </c>
      <c r="C1001" t="s">
        <v>1914</v>
      </c>
      <c r="D1001" t="s">
        <v>219</v>
      </c>
      <c r="E1001" s="5">
        <v>1344</v>
      </c>
      <c r="F1001" t="s">
        <v>265</v>
      </c>
      <c r="G1001">
        <v>24</v>
      </c>
      <c r="H1001" t="s">
        <v>721</v>
      </c>
      <c r="J1001" t="s">
        <v>3434</v>
      </c>
      <c r="K1001" t="s">
        <v>3435</v>
      </c>
      <c r="L1001" t="s">
        <v>3436</v>
      </c>
    </row>
    <row r="1002" spans="1:17" x14ac:dyDescent="0.25">
      <c r="A1002">
        <v>1832</v>
      </c>
      <c r="B1002" t="s">
        <v>19</v>
      </c>
      <c r="C1002" t="s">
        <v>1914</v>
      </c>
      <c r="D1002" t="s">
        <v>219</v>
      </c>
      <c r="E1002" s="5">
        <v>1344</v>
      </c>
      <c r="F1002" t="s">
        <v>265</v>
      </c>
      <c r="G1002">
        <v>24</v>
      </c>
      <c r="H1002" t="s">
        <v>833</v>
      </c>
      <c r="J1002" t="s">
        <v>3434</v>
      </c>
      <c r="K1002" t="s">
        <v>3435</v>
      </c>
      <c r="L1002" t="s">
        <v>3436</v>
      </c>
    </row>
    <row r="1003" spans="1:17" x14ac:dyDescent="0.25">
      <c r="A1003">
        <v>1832</v>
      </c>
      <c r="B1003" t="s">
        <v>19</v>
      </c>
      <c r="C1003" t="s">
        <v>1914</v>
      </c>
      <c r="D1003" t="s">
        <v>219</v>
      </c>
      <c r="E1003" s="5">
        <v>1344</v>
      </c>
      <c r="F1003" t="s">
        <v>265</v>
      </c>
      <c r="G1003">
        <v>24</v>
      </c>
      <c r="H1003" t="s">
        <v>1683</v>
      </c>
      <c r="J1003" t="s">
        <v>3432</v>
      </c>
      <c r="K1003" t="s">
        <v>3433</v>
      </c>
    </row>
    <row r="1004" spans="1:17" x14ac:dyDescent="0.25">
      <c r="A1004">
        <v>1832</v>
      </c>
      <c r="B1004" t="s">
        <v>19</v>
      </c>
      <c r="C1004" t="s">
        <v>1914</v>
      </c>
      <c r="D1004" t="s">
        <v>219</v>
      </c>
      <c r="E1004" s="5">
        <v>1344</v>
      </c>
      <c r="F1004" t="s">
        <v>265</v>
      </c>
      <c r="G1004">
        <v>24</v>
      </c>
      <c r="H1004" t="s">
        <v>1683</v>
      </c>
      <c r="J1004" t="s">
        <v>3446</v>
      </c>
      <c r="K1004" t="s">
        <v>3447</v>
      </c>
    </row>
    <row r="1005" spans="1:17" x14ac:dyDescent="0.25">
      <c r="A1005">
        <v>1832</v>
      </c>
      <c r="B1005" t="s">
        <v>19</v>
      </c>
      <c r="C1005" t="s">
        <v>1914</v>
      </c>
      <c r="D1005" t="s">
        <v>219</v>
      </c>
      <c r="E1005" s="5">
        <v>1344</v>
      </c>
      <c r="F1005" t="s">
        <v>265</v>
      </c>
      <c r="G1005">
        <v>24</v>
      </c>
      <c r="H1005" s="8" t="s">
        <v>398</v>
      </c>
      <c r="J1005" t="s">
        <v>3443</v>
      </c>
      <c r="K1005" t="s">
        <v>3444</v>
      </c>
    </row>
    <row r="1006" spans="1:17" x14ac:dyDescent="0.25">
      <c r="A1006">
        <v>1832</v>
      </c>
      <c r="B1006" t="s">
        <v>19</v>
      </c>
      <c r="C1006" t="s">
        <v>1914</v>
      </c>
      <c r="D1006" t="s">
        <v>219</v>
      </c>
      <c r="E1006" s="5">
        <v>1344</v>
      </c>
      <c r="F1006" t="s">
        <v>265</v>
      </c>
      <c r="G1006">
        <v>24</v>
      </c>
      <c r="H1006" t="s">
        <v>1683</v>
      </c>
      <c r="J1006" t="s">
        <v>3442</v>
      </c>
      <c r="K1006" t="s">
        <v>629</v>
      </c>
      <c r="Q1006" t="s">
        <v>3441</v>
      </c>
    </row>
    <row r="1007" spans="1:17" x14ac:dyDescent="0.25">
      <c r="A1007">
        <v>1832</v>
      </c>
      <c r="B1007" t="s">
        <v>19</v>
      </c>
      <c r="C1007" t="s">
        <v>1914</v>
      </c>
      <c r="D1007" t="s">
        <v>219</v>
      </c>
      <c r="E1007" s="5">
        <v>1344</v>
      </c>
      <c r="F1007" t="s">
        <v>265</v>
      </c>
      <c r="G1007">
        <v>24</v>
      </c>
      <c r="H1007" t="s">
        <v>725</v>
      </c>
      <c r="K1007" t="s">
        <v>2946</v>
      </c>
    </row>
    <row r="1008" spans="1:17" x14ac:dyDescent="0.25">
      <c r="A1008">
        <v>1832</v>
      </c>
      <c r="B1008" t="s">
        <v>19</v>
      </c>
      <c r="C1008" t="s">
        <v>1914</v>
      </c>
      <c r="D1008" t="s">
        <v>219</v>
      </c>
      <c r="E1008" s="5">
        <v>1344</v>
      </c>
      <c r="F1008" t="s">
        <v>265</v>
      </c>
      <c r="G1008">
        <v>24</v>
      </c>
      <c r="H1008" s="8" t="s">
        <v>417</v>
      </c>
      <c r="K1008" t="s">
        <v>3431</v>
      </c>
      <c r="Q1008" t="s">
        <v>3430</v>
      </c>
    </row>
    <row r="1009" spans="1:17" x14ac:dyDescent="0.25">
      <c r="A1009">
        <v>1832</v>
      </c>
      <c r="B1009" t="s">
        <v>19</v>
      </c>
      <c r="C1009" t="s">
        <v>1914</v>
      </c>
      <c r="D1009" t="s">
        <v>219</v>
      </c>
      <c r="E1009" s="5">
        <v>1344</v>
      </c>
      <c r="F1009" t="s">
        <v>265</v>
      </c>
      <c r="G1009">
        <v>24</v>
      </c>
      <c r="H1009" t="s">
        <v>725</v>
      </c>
      <c r="K1009" t="s">
        <v>1072</v>
      </c>
      <c r="L1009" t="s">
        <v>2851</v>
      </c>
      <c r="M1009" t="s">
        <v>3439</v>
      </c>
      <c r="N1009" t="s">
        <v>3440</v>
      </c>
    </row>
    <row r="1010" spans="1:17" x14ac:dyDescent="0.25">
      <c r="A1010">
        <v>1841</v>
      </c>
      <c r="B1010" t="s">
        <v>3459</v>
      </c>
      <c r="C1010" t="s">
        <v>68</v>
      </c>
      <c r="D1010" t="s">
        <v>220</v>
      </c>
      <c r="E1010" s="5">
        <v>1343</v>
      </c>
      <c r="F1010" t="s">
        <v>817</v>
      </c>
      <c r="G1010">
        <v>20</v>
      </c>
      <c r="H1010" t="s">
        <v>833</v>
      </c>
      <c r="J1010" t="s">
        <v>3463</v>
      </c>
      <c r="Q1010" t="s">
        <v>3462</v>
      </c>
    </row>
    <row r="1011" spans="1:17" x14ac:dyDescent="0.25">
      <c r="A1011">
        <v>1842</v>
      </c>
      <c r="B1011" t="s">
        <v>465</v>
      </c>
      <c r="C1011" t="s">
        <v>68</v>
      </c>
      <c r="D1011" t="s">
        <v>219</v>
      </c>
      <c r="E1011" s="5">
        <v>1345</v>
      </c>
      <c r="G1011" s="9" t="s">
        <v>3467</v>
      </c>
      <c r="H1011" t="s">
        <v>540</v>
      </c>
      <c r="J1011" t="s">
        <v>583</v>
      </c>
    </row>
    <row r="1012" spans="1:17" x14ac:dyDescent="0.25">
      <c r="A1012">
        <v>1844</v>
      </c>
      <c r="B1012" t="s">
        <v>3474</v>
      </c>
      <c r="C1012" t="s">
        <v>68</v>
      </c>
      <c r="D1012" t="s">
        <v>3219</v>
      </c>
      <c r="E1012" s="5">
        <v>1345</v>
      </c>
      <c r="F1012" t="s">
        <v>3473</v>
      </c>
      <c r="G1012">
        <v>11</v>
      </c>
      <c r="H1012" t="s">
        <v>389</v>
      </c>
      <c r="J1012" t="s">
        <v>759</v>
      </c>
    </row>
    <row r="1013" spans="1:17" x14ac:dyDescent="0.25">
      <c r="A1013">
        <v>1851</v>
      </c>
      <c r="B1013" t="s">
        <v>156</v>
      </c>
      <c r="C1013" t="s">
        <v>3482</v>
      </c>
      <c r="D1013" t="s">
        <v>219</v>
      </c>
      <c r="E1013" s="5">
        <v>1344</v>
      </c>
      <c r="F1013" t="s">
        <v>383</v>
      </c>
      <c r="G1013">
        <v>10</v>
      </c>
      <c r="H1013" t="s">
        <v>645</v>
      </c>
      <c r="I1013" t="s">
        <v>3487</v>
      </c>
      <c r="K1013" t="s">
        <v>3488</v>
      </c>
      <c r="L1013" t="s">
        <v>3489</v>
      </c>
    </row>
    <row r="1014" spans="1:17" x14ac:dyDescent="0.25">
      <c r="A1014">
        <v>1851</v>
      </c>
      <c r="B1014" t="s">
        <v>156</v>
      </c>
      <c r="C1014" t="s">
        <v>3482</v>
      </c>
      <c r="D1014" t="s">
        <v>219</v>
      </c>
      <c r="E1014" s="5">
        <v>1344</v>
      </c>
      <c r="F1014" t="s">
        <v>383</v>
      </c>
      <c r="G1014">
        <v>10</v>
      </c>
      <c r="H1014" t="s">
        <v>645</v>
      </c>
      <c r="J1014" t="s">
        <v>3484</v>
      </c>
      <c r="K1014" t="s">
        <v>3485</v>
      </c>
      <c r="L1014" t="s">
        <v>3486</v>
      </c>
    </row>
    <row r="1015" spans="1:17" x14ac:dyDescent="0.25">
      <c r="A1015">
        <v>1851</v>
      </c>
      <c r="B1015" t="s">
        <v>156</v>
      </c>
      <c r="C1015" t="s">
        <v>3482</v>
      </c>
      <c r="D1015" t="s">
        <v>219</v>
      </c>
      <c r="E1015" s="5">
        <v>1344</v>
      </c>
      <c r="F1015" t="s">
        <v>383</v>
      </c>
      <c r="G1015">
        <v>10</v>
      </c>
      <c r="H1015" t="s">
        <v>725</v>
      </c>
      <c r="J1015" t="s">
        <v>3493</v>
      </c>
      <c r="K1015" t="s">
        <v>3494</v>
      </c>
      <c r="L1015" t="s">
        <v>3489</v>
      </c>
      <c r="M1015" t="s">
        <v>3495</v>
      </c>
      <c r="N1015" t="s">
        <v>3496</v>
      </c>
    </row>
    <row r="1016" spans="1:17" x14ac:dyDescent="0.25">
      <c r="A1016">
        <v>1851</v>
      </c>
      <c r="B1016" t="s">
        <v>156</v>
      </c>
      <c r="C1016" t="s">
        <v>3482</v>
      </c>
      <c r="D1016" t="s">
        <v>219</v>
      </c>
      <c r="E1016" s="5">
        <v>1344</v>
      </c>
      <c r="F1016" t="s">
        <v>383</v>
      </c>
      <c r="G1016">
        <v>10</v>
      </c>
      <c r="H1016" s="8" t="s">
        <v>398</v>
      </c>
      <c r="K1016" t="s">
        <v>3490</v>
      </c>
      <c r="L1016" t="s">
        <v>3491</v>
      </c>
      <c r="M1016" t="s">
        <v>3492</v>
      </c>
    </row>
    <row r="1017" spans="1:17" x14ac:dyDescent="0.25">
      <c r="A1017">
        <v>1851</v>
      </c>
      <c r="B1017" t="s">
        <v>156</v>
      </c>
      <c r="C1017" t="s">
        <v>3482</v>
      </c>
      <c r="D1017" t="s">
        <v>219</v>
      </c>
      <c r="E1017" s="5">
        <v>1344</v>
      </c>
      <c r="F1017" t="s">
        <v>383</v>
      </c>
      <c r="G1017">
        <v>10</v>
      </c>
      <c r="H1017" t="s">
        <v>1683</v>
      </c>
      <c r="K1017" t="s">
        <v>1100</v>
      </c>
    </row>
    <row r="1018" spans="1:17" x14ac:dyDescent="0.25">
      <c r="A1018">
        <v>1861</v>
      </c>
      <c r="B1018" t="s">
        <v>3504</v>
      </c>
      <c r="C1018" t="s">
        <v>2183</v>
      </c>
      <c r="D1018" t="s">
        <v>220</v>
      </c>
      <c r="E1018" s="5">
        <v>1344</v>
      </c>
      <c r="F1018" t="s">
        <v>383</v>
      </c>
      <c r="G1018">
        <v>27</v>
      </c>
      <c r="H1018" t="s">
        <v>1603</v>
      </c>
      <c r="I1018" t="s">
        <v>3502</v>
      </c>
      <c r="K1018" t="s">
        <v>3503</v>
      </c>
      <c r="M1018" t="s">
        <v>3505</v>
      </c>
      <c r="N1018" t="s">
        <v>3506</v>
      </c>
      <c r="O1018" t="s">
        <v>3507</v>
      </c>
    </row>
    <row r="1019" spans="1:17" x14ac:dyDescent="0.25">
      <c r="A1019">
        <v>1861</v>
      </c>
      <c r="B1019" t="s">
        <v>3504</v>
      </c>
      <c r="C1019" t="s">
        <v>2183</v>
      </c>
      <c r="D1019" t="s">
        <v>220</v>
      </c>
      <c r="E1019" s="5">
        <v>1344</v>
      </c>
      <c r="F1019" t="s">
        <v>383</v>
      </c>
      <c r="G1019">
        <v>27</v>
      </c>
      <c r="H1019" t="s">
        <v>621</v>
      </c>
      <c r="I1019" t="s">
        <v>3302</v>
      </c>
      <c r="K1019" t="s">
        <v>3508</v>
      </c>
      <c r="L1019" t="s">
        <v>3510</v>
      </c>
      <c r="Q1019" t="s">
        <v>3509</v>
      </c>
    </row>
    <row r="1020" spans="1:17" x14ac:dyDescent="0.25">
      <c r="A1020">
        <v>1862</v>
      </c>
      <c r="B1020" t="s">
        <v>32</v>
      </c>
      <c r="C1020" t="s">
        <v>1914</v>
      </c>
      <c r="D1020" t="s">
        <v>219</v>
      </c>
      <c r="E1020" s="5">
        <v>1344</v>
      </c>
      <c r="F1020" t="s">
        <v>973</v>
      </c>
      <c r="G1020">
        <v>19</v>
      </c>
      <c r="H1020" t="s">
        <v>206</v>
      </c>
      <c r="J1020" t="s">
        <v>3517</v>
      </c>
    </row>
    <row r="1021" spans="1:17" x14ac:dyDescent="0.25">
      <c r="A1021">
        <v>1862</v>
      </c>
      <c r="B1021" t="s">
        <v>32</v>
      </c>
      <c r="C1021" t="s">
        <v>1914</v>
      </c>
      <c r="D1021" t="s">
        <v>219</v>
      </c>
      <c r="E1021" s="5">
        <v>1344</v>
      </c>
      <c r="F1021" t="s">
        <v>973</v>
      </c>
      <c r="G1021">
        <v>19</v>
      </c>
      <c r="H1021" t="s">
        <v>227</v>
      </c>
      <c r="J1021" t="s">
        <v>3517</v>
      </c>
    </row>
    <row r="1022" spans="1:17" x14ac:dyDescent="0.25">
      <c r="A1022">
        <v>1862</v>
      </c>
      <c r="B1022" t="s">
        <v>32</v>
      </c>
      <c r="C1022" t="s">
        <v>1914</v>
      </c>
      <c r="D1022" t="s">
        <v>219</v>
      </c>
      <c r="E1022" s="5">
        <v>1344</v>
      </c>
      <c r="F1022" t="s">
        <v>973</v>
      </c>
      <c r="G1022">
        <v>19</v>
      </c>
      <c r="H1022" t="s">
        <v>721</v>
      </c>
      <c r="J1022" t="s">
        <v>3517</v>
      </c>
    </row>
    <row r="1023" spans="1:17" x14ac:dyDescent="0.25">
      <c r="A1023">
        <v>1862</v>
      </c>
      <c r="B1023" t="s">
        <v>32</v>
      </c>
      <c r="C1023" t="s">
        <v>1914</v>
      </c>
      <c r="D1023" t="s">
        <v>219</v>
      </c>
      <c r="E1023" s="5">
        <v>1344</v>
      </c>
      <c r="F1023" t="s">
        <v>973</v>
      </c>
      <c r="G1023">
        <v>19</v>
      </c>
      <c r="H1023" t="s">
        <v>3516</v>
      </c>
      <c r="J1023" t="s">
        <v>2928</v>
      </c>
    </row>
    <row r="1024" spans="1:17" x14ac:dyDescent="0.25">
      <c r="A1024">
        <v>1871</v>
      </c>
      <c r="B1024" t="s">
        <v>37</v>
      </c>
      <c r="C1024" t="s">
        <v>3525</v>
      </c>
      <c r="D1024" t="s">
        <v>220</v>
      </c>
      <c r="E1024" s="5">
        <v>1345</v>
      </c>
      <c r="F1024" t="s">
        <v>249</v>
      </c>
      <c r="G1024">
        <v>7</v>
      </c>
      <c r="H1024" t="s">
        <v>389</v>
      </c>
      <c r="J1024" t="s">
        <v>3000</v>
      </c>
    </row>
    <row r="1025" spans="1:17" x14ac:dyDescent="0.25">
      <c r="A1025">
        <v>1872</v>
      </c>
      <c r="B1025" t="s">
        <v>107</v>
      </c>
      <c r="C1025" t="s">
        <v>2018</v>
      </c>
      <c r="D1025" t="s">
        <v>219</v>
      </c>
      <c r="E1025" s="5">
        <v>1345</v>
      </c>
      <c r="F1025" t="s">
        <v>265</v>
      </c>
      <c r="G1025">
        <v>29</v>
      </c>
      <c r="H1025" t="s">
        <v>725</v>
      </c>
      <c r="J1025" t="s">
        <v>2020</v>
      </c>
    </row>
    <row r="1026" spans="1:17" x14ac:dyDescent="0.25">
      <c r="A1026">
        <v>1872</v>
      </c>
      <c r="B1026" t="s">
        <v>107</v>
      </c>
      <c r="C1026" t="s">
        <v>2018</v>
      </c>
      <c r="D1026" t="s">
        <v>219</v>
      </c>
      <c r="E1026" s="5">
        <v>1345</v>
      </c>
      <c r="F1026" t="s">
        <v>265</v>
      </c>
      <c r="G1026">
        <v>29</v>
      </c>
      <c r="H1026" s="8" t="s">
        <v>398</v>
      </c>
      <c r="J1026" t="s">
        <v>2020</v>
      </c>
      <c r="K1026" t="s">
        <v>3531</v>
      </c>
    </row>
    <row r="1027" spans="1:17" x14ac:dyDescent="0.25">
      <c r="A1027">
        <v>1873</v>
      </c>
      <c r="B1027" t="s">
        <v>465</v>
      </c>
      <c r="C1027" t="s">
        <v>2819</v>
      </c>
      <c r="D1027" t="s">
        <v>219</v>
      </c>
      <c r="E1027" s="5">
        <v>1346</v>
      </c>
      <c r="F1027" t="s">
        <v>2149</v>
      </c>
      <c r="G1027">
        <v>30</v>
      </c>
      <c r="H1027" t="s">
        <v>3516</v>
      </c>
      <c r="I1027" t="s">
        <v>3537</v>
      </c>
    </row>
    <row r="1028" spans="1:17" x14ac:dyDescent="0.25">
      <c r="A1028">
        <v>1881</v>
      </c>
      <c r="B1028" t="s">
        <v>3542</v>
      </c>
      <c r="C1028" t="s">
        <v>3544</v>
      </c>
      <c r="D1028" t="s">
        <v>3219</v>
      </c>
      <c r="E1028">
        <v>1407</v>
      </c>
      <c r="F1028" t="s">
        <v>973</v>
      </c>
      <c r="G1028">
        <v>3</v>
      </c>
      <c r="H1028" t="s">
        <v>721</v>
      </c>
      <c r="I1028" t="s">
        <v>3545</v>
      </c>
      <c r="K1028" t="s">
        <v>3546</v>
      </c>
      <c r="L1028" t="s">
        <v>3547</v>
      </c>
      <c r="M1028" t="s">
        <v>3548</v>
      </c>
      <c r="N1028" t="s">
        <v>3549</v>
      </c>
    </row>
    <row r="1029" spans="1:17" x14ac:dyDescent="0.25">
      <c r="A1029">
        <v>1881</v>
      </c>
      <c r="B1029" t="s">
        <v>3542</v>
      </c>
      <c r="C1029" t="s">
        <v>3544</v>
      </c>
      <c r="D1029" t="s">
        <v>3219</v>
      </c>
      <c r="E1029">
        <v>1407</v>
      </c>
      <c r="F1029" t="s">
        <v>973</v>
      </c>
      <c r="G1029">
        <v>3</v>
      </c>
      <c r="H1029" t="s">
        <v>679</v>
      </c>
      <c r="I1029" t="s">
        <v>3545</v>
      </c>
      <c r="K1029" t="s">
        <v>3546</v>
      </c>
      <c r="L1029" t="s">
        <v>3547</v>
      </c>
      <c r="M1029" t="s">
        <v>3548</v>
      </c>
      <c r="N1029" t="s">
        <v>3549</v>
      </c>
    </row>
    <row r="1030" spans="1:17" x14ac:dyDescent="0.25">
      <c r="A1030">
        <v>1881</v>
      </c>
      <c r="B1030" t="s">
        <v>3542</v>
      </c>
      <c r="C1030" t="s">
        <v>3544</v>
      </c>
      <c r="D1030" t="s">
        <v>3219</v>
      </c>
      <c r="E1030">
        <v>1407</v>
      </c>
      <c r="F1030" t="s">
        <v>973</v>
      </c>
      <c r="G1030">
        <v>3</v>
      </c>
      <c r="H1030" s="8" t="s">
        <v>398</v>
      </c>
      <c r="I1030" t="s">
        <v>3550</v>
      </c>
      <c r="K1030" t="s">
        <v>3551</v>
      </c>
    </row>
    <row r="1031" spans="1:17" x14ac:dyDescent="0.25">
      <c r="A1031">
        <v>1881</v>
      </c>
      <c r="B1031" t="s">
        <v>3542</v>
      </c>
      <c r="C1031" t="s">
        <v>3544</v>
      </c>
      <c r="D1031" t="s">
        <v>3219</v>
      </c>
      <c r="E1031">
        <v>1407</v>
      </c>
      <c r="F1031" t="s">
        <v>973</v>
      </c>
      <c r="G1031">
        <v>3</v>
      </c>
      <c r="H1031" t="s">
        <v>621</v>
      </c>
      <c r="I1031" t="s">
        <v>3552</v>
      </c>
      <c r="K1031" t="s">
        <v>3553</v>
      </c>
      <c r="L1031" t="s">
        <v>3554</v>
      </c>
    </row>
    <row r="1032" spans="1:17" x14ac:dyDescent="0.25">
      <c r="A1032">
        <v>1891</v>
      </c>
      <c r="B1032" t="s">
        <v>3570</v>
      </c>
      <c r="C1032" t="s">
        <v>33</v>
      </c>
      <c r="D1032" t="s">
        <v>219</v>
      </c>
      <c r="E1032">
        <v>1380</v>
      </c>
      <c r="F1032" t="s">
        <v>973</v>
      </c>
      <c r="G1032">
        <v>9</v>
      </c>
      <c r="H1032" t="s">
        <v>468</v>
      </c>
      <c r="I1032" t="s">
        <v>3575</v>
      </c>
      <c r="J1032" t="s">
        <v>3572</v>
      </c>
      <c r="K1032" t="s">
        <v>3937</v>
      </c>
      <c r="L1032" t="s">
        <v>3577</v>
      </c>
      <c r="M1032" t="s">
        <v>3578</v>
      </c>
      <c r="N1032" t="s">
        <v>3579</v>
      </c>
      <c r="O1032" t="s">
        <v>3580</v>
      </c>
      <c r="P1032" t="s">
        <v>3581</v>
      </c>
    </row>
    <row r="1033" spans="1:17" x14ac:dyDescent="0.25">
      <c r="A1033">
        <v>1891</v>
      </c>
      <c r="B1033" t="s">
        <v>3570</v>
      </c>
      <c r="C1033" t="s">
        <v>33</v>
      </c>
      <c r="D1033" t="s">
        <v>219</v>
      </c>
      <c r="E1033">
        <v>1380</v>
      </c>
      <c r="F1033" t="s">
        <v>973</v>
      </c>
      <c r="G1033">
        <v>9</v>
      </c>
      <c r="H1033" t="s">
        <v>1153</v>
      </c>
      <c r="I1033" t="s">
        <v>3575</v>
      </c>
    </row>
    <row r="1034" spans="1:17" x14ac:dyDescent="0.25">
      <c r="A1034">
        <v>1891</v>
      </c>
      <c r="B1034" t="s">
        <v>3570</v>
      </c>
      <c r="C1034" t="s">
        <v>33</v>
      </c>
      <c r="D1034" t="s">
        <v>219</v>
      </c>
      <c r="E1034">
        <v>1380</v>
      </c>
      <c r="F1034" t="s">
        <v>973</v>
      </c>
      <c r="G1034">
        <v>9</v>
      </c>
      <c r="H1034" t="s">
        <v>1683</v>
      </c>
      <c r="J1034" t="s">
        <v>3941</v>
      </c>
      <c r="K1034" t="s">
        <v>3937</v>
      </c>
      <c r="L1034" t="s">
        <v>3582</v>
      </c>
      <c r="M1034" t="s">
        <v>3583</v>
      </c>
    </row>
    <row r="1035" spans="1:17" x14ac:dyDescent="0.25">
      <c r="A1035">
        <v>1891</v>
      </c>
      <c r="B1035" t="s">
        <v>3570</v>
      </c>
      <c r="C1035" t="s">
        <v>33</v>
      </c>
      <c r="D1035" t="s">
        <v>219</v>
      </c>
      <c r="E1035">
        <v>1380</v>
      </c>
      <c r="F1035" t="s">
        <v>973</v>
      </c>
      <c r="G1035">
        <v>9</v>
      </c>
      <c r="H1035" t="s">
        <v>679</v>
      </c>
      <c r="J1035" t="s">
        <v>3587</v>
      </c>
      <c r="K1035" t="s">
        <v>3588</v>
      </c>
      <c r="L1035" t="s">
        <v>3589</v>
      </c>
    </row>
    <row r="1036" spans="1:17" x14ac:dyDescent="0.25">
      <c r="A1036">
        <v>1891</v>
      </c>
      <c r="B1036" t="s">
        <v>3570</v>
      </c>
      <c r="C1036" t="s">
        <v>33</v>
      </c>
      <c r="D1036" t="s">
        <v>219</v>
      </c>
      <c r="E1036">
        <v>1380</v>
      </c>
      <c r="F1036" t="s">
        <v>973</v>
      </c>
      <c r="G1036">
        <v>9</v>
      </c>
      <c r="H1036" s="8" t="s">
        <v>398</v>
      </c>
      <c r="K1036" t="s">
        <v>3585</v>
      </c>
      <c r="L1036" t="s">
        <v>3586</v>
      </c>
    </row>
    <row r="1037" spans="1:17" x14ac:dyDescent="0.25">
      <c r="A1037">
        <v>1891</v>
      </c>
      <c r="B1037" t="s">
        <v>3570</v>
      </c>
      <c r="C1037" t="s">
        <v>33</v>
      </c>
      <c r="D1037" t="s">
        <v>219</v>
      </c>
      <c r="E1037">
        <v>1380</v>
      </c>
      <c r="F1037" t="s">
        <v>973</v>
      </c>
      <c r="G1037">
        <v>9</v>
      </c>
      <c r="H1037" t="s">
        <v>632</v>
      </c>
      <c r="K1037" t="s">
        <v>3584</v>
      </c>
    </row>
    <row r="1038" spans="1:17" x14ac:dyDescent="0.25">
      <c r="A1038">
        <v>1891</v>
      </c>
      <c r="B1038" t="s">
        <v>3570</v>
      </c>
      <c r="C1038" t="s">
        <v>33</v>
      </c>
      <c r="D1038" t="s">
        <v>219</v>
      </c>
      <c r="E1038">
        <v>1380</v>
      </c>
      <c r="F1038" t="s">
        <v>973</v>
      </c>
      <c r="G1038">
        <v>9</v>
      </c>
      <c r="H1038" t="s">
        <v>3880</v>
      </c>
      <c r="Q1038" t="s">
        <v>3590</v>
      </c>
    </row>
    <row r="1039" spans="1:17" x14ac:dyDescent="0.25">
      <c r="A1039">
        <v>1891</v>
      </c>
      <c r="B1039" t="s">
        <v>3570</v>
      </c>
      <c r="C1039" t="s">
        <v>33</v>
      </c>
      <c r="D1039" t="s">
        <v>219</v>
      </c>
      <c r="E1039">
        <v>1380</v>
      </c>
      <c r="F1039" t="s">
        <v>973</v>
      </c>
      <c r="G1039">
        <v>9</v>
      </c>
      <c r="H1039" t="s">
        <v>3881</v>
      </c>
      <c r="Q1039" t="s">
        <v>3590</v>
      </c>
    </row>
    <row r="1040" spans="1:17" x14ac:dyDescent="0.25">
      <c r="A1040">
        <v>1891</v>
      </c>
      <c r="B1040" t="s">
        <v>3570</v>
      </c>
      <c r="C1040" t="s">
        <v>33</v>
      </c>
      <c r="D1040" t="s">
        <v>219</v>
      </c>
      <c r="E1040">
        <v>1380</v>
      </c>
      <c r="F1040" t="s">
        <v>973</v>
      </c>
      <c r="G1040">
        <v>9</v>
      </c>
      <c r="H1040" t="s">
        <v>3882</v>
      </c>
      <c r="Q1040" t="s">
        <v>3590</v>
      </c>
    </row>
    <row r="1041" spans="1:17" x14ac:dyDescent="0.25">
      <c r="A1041">
        <v>1891</v>
      </c>
      <c r="B1041" t="s">
        <v>3570</v>
      </c>
      <c r="C1041" t="s">
        <v>33</v>
      </c>
      <c r="D1041" t="s">
        <v>219</v>
      </c>
      <c r="E1041">
        <v>1380</v>
      </c>
      <c r="F1041" t="s">
        <v>973</v>
      </c>
      <c r="G1041">
        <v>9</v>
      </c>
      <c r="H1041" t="s">
        <v>3879</v>
      </c>
      <c r="Q1041" t="s">
        <v>3593</v>
      </c>
    </row>
    <row r="1042" spans="1:17" x14ac:dyDescent="0.25">
      <c r="A1042">
        <v>1891</v>
      </c>
      <c r="B1042" t="s">
        <v>3570</v>
      </c>
      <c r="C1042" t="s">
        <v>33</v>
      </c>
      <c r="D1042" t="s">
        <v>219</v>
      </c>
      <c r="E1042">
        <v>1380</v>
      </c>
      <c r="F1042" t="s">
        <v>973</v>
      </c>
      <c r="G1042">
        <v>9</v>
      </c>
      <c r="H1042" t="s">
        <v>3592</v>
      </c>
      <c r="Q1042" t="s">
        <v>3593</v>
      </c>
    </row>
    <row r="1043" spans="1:17" x14ac:dyDescent="0.25">
      <c r="A1043">
        <v>1911</v>
      </c>
      <c r="B1043" t="s">
        <v>13</v>
      </c>
      <c r="C1043" t="s">
        <v>3603</v>
      </c>
      <c r="D1043" t="s">
        <v>219</v>
      </c>
      <c r="E1043">
        <v>1406</v>
      </c>
      <c r="F1043" t="s">
        <v>431</v>
      </c>
      <c r="G1043">
        <v>11</v>
      </c>
      <c r="H1043" s="8" t="s">
        <v>398</v>
      </c>
      <c r="I1043" t="s">
        <v>3683</v>
      </c>
      <c r="K1043" t="s">
        <v>3821</v>
      </c>
      <c r="L1043" t="s">
        <v>3822</v>
      </c>
      <c r="M1043" t="s">
        <v>3684</v>
      </c>
      <c r="N1043" t="s">
        <v>3823</v>
      </c>
    </row>
    <row r="1044" spans="1:17" x14ac:dyDescent="0.25">
      <c r="A1044">
        <v>1911</v>
      </c>
      <c r="B1044" t="s">
        <v>13</v>
      </c>
      <c r="C1044" t="s">
        <v>3603</v>
      </c>
      <c r="D1044" t="s">
        <v>219</v>
      </c>
      <c r="E1044">
        <v>1406</v>
      </c>
      <c r="F1044" t="s">
        <v>431</v>
      </c>
      <c r="G1044">
        <v>11</v>
      </c>
      <c r="H1044" t="s">
        <v>679</v>
      </c>
      <c r="I1044" t="s">
        <v>3683</v>
      </c>
      <c r="K1044" t="s">
        <v>3821</v>
      </c>
      <c r="L1044" t="s">
        <v>3822</v>
      </c>
      <c r="M1044" t="s">
        <v>3684</v>
      </c>
      <c r="N1044" t="s">
        <v>3823</v>
      </c>
    </row>
    <row r="1045" spans="1:17" x14ac:dyDescent="0.25">
      <c r="A1045">
        <v>1911</v>
      </c>
      <c r="B1045" t="s">
        <v>13</v>
      </c>
      <c r="C1045" t="s">
        <v>3603</v>
      </c>
      <c r="D1045" t="s">
        <v>219</v>
      </c>
      <c r="E1045">
        <v>1406</v>
      </c>
      <c r="F1045" t="s">
        <v>431</v>
      </c>
      <c r="G1045">
        <v>11</v>
      </c>
      <c r="H1045" t="s">
        <v>645</v>
      </c>
      <c r="I1045" t="s">
        <v>3674</v>
      </c>
      <c r="K1045" t="s">
        <v>3675</v>
      </c>
    </row>
    <row r="1046" spans="1:17" x14ac:dyDescent="0.25">
      <c r="A1046">
        <v>1911</v>
      </c>
      <c r="B1046" t="s">
        <v>13</v>
      </c>
      <c r="C1046" t="s">
        <v>3603</v>
      </c>
      <c r="D1046" t="s">
        <v>219</v>
      </c>
      <c r="E1046">
        <v>1406</v>
      </c>
      <c r="F1046" t="s">
        <v>431</v>
      </c>
      <c r="G1046">
        <v>11</v>
      </c>
      <c r="H1046" t="s">
        <v>3269</v>
      </c>
      <c r="I1046" t="s">
        <v>3669</v>
      </c>
      <c r="K1046" t="s">
        <v>3670</v>
      </c>
      <c r="L1046" t="s">
        <v>3671</v>
      </c>
      <c r="M1046" t="s">
        <v>3672</v>
      </c>
      <c r="N1046" t="s">
        <v>3673</v>
      </c>
    </row>
    <row r="1047" spans="1:17" x14ac:dyDescent="0.25">
      <c r="A1047">
        <v>1911</v>
      </c>
      <c r="B1047" t="s">
        <v>13</v>
      </c>
      <c r="C1047" t="s">
        <v>3603</v>
      </c>
      <c r="D1047" t="s">
        <v>219</v>
      </c>
      <c r="E1047">
        <v>1406</v>
      </c>
      <c r="F1047" t="s">
        <v>431</v>
      </c>
      <c r="G1047">
        <v>11</v>
      </c>
      <c r="H1047" t="s">
        <v>645</v>
      </c>
      <c r="I1047" t="s">
        <v>1865</v>
      </c>
      <c r="K1047" t="s">
        <v>3816</v>
      </c>
      <c r="L1047" t="s">
        <v>3645</v>
      </c>
    </row>
    <row r="1048" spans="1:17" x14ac:dyDescent="0.25">
      <c r="A1048">
        <v>1911</v>
      </c>
      <c r="B1048" t="s">
        <v>13</v>
      </c>
      <c r="C1048" t="s">
        <v>3603</v>
      </c>
      <c r="D1048" t="s">
        <v>219</v>
      </c>
      <c r="E1048">
        <v>1406</v>
      </c>
      <c r="F1048" t="s">
        <v>431</v>
      </c>
      <c r="G1048">
        <v>11</v>
      </c>
      <c r="H1048" s="8" t="s">
        <v>398</v>
      </c>
      <c r="I1048" t="s">
        <v>3685</v>
      </c>
      <c r="K1048" t="s">
        <v>206</v>
      </c>
    </row>
    <row r="1049" spans="1:17" x14ac:dyDescent="0.25">
      <c r="A1049">
        <v>1911</v>
      </c>
      <c r="B1049" t="s">
        <v>13</v>
      </c>
      <c r="C1049" t="s">
        <v>3603</v>
      </c>
      <c r="D1049" t="s">
        <v>219</v>
      </c>
      <c r="E1049">
        <v>1406</v>
      </c>
      <c r="F1049" t="s">
        <v>431</v>
      </c>
      <c r="G1049">
        <v>11</v>
      </c>
      <c r="H1049" t="s">
        <v>679</v>
      </c>
      <c r="I1049" t="s">
        <v>3685</v>
      </c>
      <c r="K1049" t="s">
        <v>206</v>
      </c>
    </row>
    <row r="1050" spans="1:17" x14ac:dyDescent="0.25">
      <c r="A1050">
        <v>1911</v>
      </c>
      <c r="B1050" t="s">
        <v>13</v>
      </c>
      <c r="C1050" t="s">
        <v>3603</v>
      </c>
      <c r="D1050" t="s">
        <v>219</v>
      </c>
      <c r="E1050">
        <v>1406</v>
      </c>
      <c r="F1050" t="s">
        <v>431</v>
      </c>
      <c r="G1050">
        <v>11</v>
      </c>
      <c r="H1050" t="s">
        <v>645</v>
      </c>
      <c r="I1050" t="s">
        <v>3664</v>
      </c>
      <c r="K1050" t="s">
        <v>3666</v>
      </c>
      <c r="L1050" t="s">
        <v>3667</v>
      </c>
      <c r="M1050" t="s">
        <v>3668</v>
      </c>
      <c r="Q1050" t="s">
        <v>3665</v>
      </c>
    </row>
    <row r="1051" spans="1:17" x14ac:dyDescent="0.25">
      <c r="A1051">
        <v>1911</v>
      </c>
      <c r="B1051" t="s">
        <v>13</v>
      </c>
      <c r="C1051" t="s">
        <v>3603</v>
      </c>
      <c r="D1051" t="s">
        <v>219</v>
      </c>
      <c r="E1051">
        <v>1406</v>
      </c>
      <c r="F1051" t="s">
        <v>431</v>
      </c>
      <c r="G1051">
        <v>11</v>
      </c>
      <c r="H1051" t="s">
        <v>645</v>
      </c>
      <c r="I1051" t="s">
        <v>3646</v>
      </c>
      <c r="K1051" t="s">
        <v>3647</v>
      </c>
      <c r="L1051" t="s">
        <v>3648</v>
      </c>
      <c r="M1051" t="s">
        <v>3649</v>
      </c>
      <c r="N1051" t="s">
        <v>3630</v>
      </c>
    </row>
    <row r="1052" spans="1:17" x14ac:dyDescent="0.25">
      <c r="A1052">
        <v>1911</v>
      </c>
      <c r="B1052" t="s">
        <v>13</v>
      </c>
      <c r="C1052" t="s">
        <v>3603</v>
      </c>
      <c r="D1052" t="s">
        <v>219</v>
      </c>
      <c r="E1052">
        <v>1406</v>
      </c>
      <c r="F1052" t="s">
        <v>431</v>
      </c>
      <c r="G1052">
        <v>11</v>
      </c>
      <c r="H1052" t="s">
        <v>389</v>
      </c>
      <c r="I1052" t="s">
        <v>3610</v>
      </c>
      <c r="K1052" t="s">
        <v>3611</v>
      </c>
      <c r="L1052" t="s">
        <v>779</v>
      </c>
      <c r="M1052" t="s">
        <v>3612</v>
      </c>
      <c r="Q1052" t="s">
        <v>3609</v>
      </c>
    </row>
    <row r="1053" spans="1:17" x14ac:dyDescent="0.25">
      <c r="A1053">
        <v>1911</v>
      </c>
      <c r="B1053" t="s">
        <v>13</v>
      </c>
      <c r="C1053" t="s">
        <v>3603</v>
      </c>
      <c r="D1053" t="s">
        <v>219</v>
      </c>
      <c r="E1053">
        <v>1406</v>
      </c>
      <c r="F1053" t="s">
        <v>431</v>
      </c>
      <c r="G1053">
        <v>11</v>
      </c>
      <c r="H1053" t="s">
        <v>1683</v>
      </c>
      <c r="I1053" t="s">
        <v>3651</v>
      </c>
      <c r="J1053" t="s">
        <v>3652</v>
      </c>
      <c r="K1053" t="s">
        <v>3653</v>
      </c>
      <c r="L1053" t="s">
        <v>3654</v>
      </c>
      <c r="M1053" t="s">
        <v>3655</v>
      </c>
    </row>
    <row r="1054" spans="1:17" x14ac:dyDescent="0.25">
      <c r="A1054">
        <v>1911</v>
      </c>
      <c r="B1054" t="s">
        <v>13</v>
      </c>
      <c r="C1054" t="s">
        <v>3603</v>
      </c>
      <c r="D1054" t="s">
        <v>219</v>
      </c>
      <c r="E1054">
        <v>1406</v>
      </c>
      <c r="F1054" t="s">
        <v>431</v>
      </c>
      <c r="G1054">
        <v>11</v>
      </c>
      <c r="H1054" t="s">
        <v>292</v>
      </c>
      <c r="I1054" t="s">
        <v>3651</v>
      </c>
      <c r="J1054" t="s">
        <v>3652</v>
      </c>
      <c r="K1054" t="s">
        <v>3653</v>
      </c>
      <c r="L1054" t="s">
        <v>3654</v>
      </c>
      <c r="M1054" t="s">
        <v>3655</v>
      </c>
    </row>
    <row r="1055" spans="1:17" x14ac:dyDescent="0.25">
      <c r="A1055">
        <v>1911</v>
      </c>
      <c r="B1055" t="s">
        <v>13</v>
      </c>
      <c r="C1055" t="s">
        <v>3603</v>
      </c>
      <c r="D1055" t="s">
        <v>219</v>
      </c>
      <c r="E1055">
        <v>1406</v>
      </c>
      <c r="F1055" t="s">
        <v>431</v>
      </c>
      <c r="G1055">
        <v>11</v>
      </c>
      <c r="H1055" t="s">
        <v>679</v>
      </c>
      <c r="I1055" t="s">
        <v>3662</v>
      </c>
      <c r="K1055" t="s">
        <v>3819</v>
      </c>
      <c r="L1055" t="s">
        <v>3663</v>
      </c>
    </row>
    <row r="1056" spans="1:17" x14ac:dyDescent="0.25">
      <c r="A1056">
        <v>1911</v>
      </c>
      <c r="B1056" t="s">
        <v>13</v>
      </c>
      <c r="C1056" t="s">
        <v>3603</v>
      </c>
      <c r="D1056" t="s">
        <v>219</v>
      </c>
      <c r="E1056">
        <v>1406</v>
      </c>
      <c r="F1056" t="s">
        <v>431</v>
      </c>
      <c r="G1056">
        <v>11</v>
      </c>
      <c r="H1056" t="s">
        <v>645</v>
      </c>
      <c r="I1056" t="s">
        <v>3643</v>
      </c>
      <c r="J1056" t="s">
        <v>3642</v>
      </c>
      <c r="K1056" t="s">
        <v>3644</v>
      </c>
    </row>
    <row r="1057" spans="1:17" x14ac:dyDescent="0.25">
      <c r="A1057">
        <v>1911</v>
      </c>
      <c r="B1057" t="s">
        <v>13</v>
      </c>
      <c r="C1057" t="s">
        <v>3603</v>
      </c>
      <c r="D1057" t="s">
        <v>219</v>
      </c>
      <c r="E1057">
        <v>1406</v>
      </c>
      <c r="F1057" t="s">
        <v>431</v>
      </c>
      <c r="G1057">
        <v>11</v>
      </c>
      <c r="H1057" t="s">
        <v>3226</v>
      </c>
      <c r="I1057" t="s">
        <v>3656</v>
      </c>
      <c r="K1057" t="s">
        <v>3818</v>
      </c>
      <c r="L1057" t="s">
        <v>3657</v>
      </c>
      <c r="M1057" t="s">
        <v>3658</v>
      </c>
    </row>
    <row r="1058" spans="1:17" x14ac:dyDescent="0.25">
      <c r="A1058">
        <v>1911</v>
      </c>
      <c r="B1058" t="s">
        <v>13</v>
      </c>
      <c r="C1058" t="s">
        <v>3603</v>
      </c>
      <c r="D1058" t="s">
        <v>219</v>
      </c>
      <c r="E1058">
        <v>1406</v>
      </c>
      <c r="F1058" t="s">
        <v>431</v>
      </c>
      <c r="G1058">
        <v>11</v>
      </c>
      <c r="H1058" t="s">
        <v>472</v>
      </c>
      <c r="I1058" t="s">
        <v>3627</v>
      </c>
      <c r="K1058" t="s">
        <v>3924</v>
      </c>
      <c r="L1058" t="s">
        <v>3628</v>
      </c>
      <c r="M1058" t="s">
        <v>3817</v>
      </c>
    </row>
    <row r="1059" spans="1:17" x14ac:dyDescent="0.25">
      <c r="A1059">
        <v>1911</v>
      </c>
      <c r="B1059" t="s">
        <v>13</v>
      </c>
      <c r="C1059" t="s">
        <v>3603</v>
      </c>
      <c r="D1059" t="s">
        <v>219</v>
      </c>
      <c r="E1059">
        <v>1406</v>
      </c>
      <c r="F1059" t="s">
        <v>431</v>
      </c>
      <c r="G1059">
        <v>11</v>
      </c>
      <c r="H1059" t="s">
        <v>3269</v>
      </c>
      <c r="I1059" t="s">
        <v>3637</v>
      </c>
      <c r="K1059" t="s">
        <v>3634</v>
      </c>
      <c r="L1059" t="s">
        <v>3638</v>
      </c>
      <c r="M1059" t="s">
        <v>3639</v>
      </c>
      <c r="N1059" t="s">
        <v>3640</v>
      </c>
      <c r="O1059" t="s">
        <v>3641</v>
      </c>
      <c r="P1059" t="s">
        <v>3816</v>
      </c>
    </row>
    <row r="1060" spans="1:17" x14ac:dyDescent="0.25">
      <c r="A1060">
        <v>1911</v>
      </c>
      <c r="B1060" t="s">
        <v>13</v>
      </c>
      <c r="C1060" t="s">
        <v>3603</v>
      </c>
      <c r="D1060" t="s">
        <v>219</v>
      </c>
      <c r="E1060">
        <v>1406</v>
      </c>
      <c r="F1060" t="s">
        <v>431</v>
      </c>
      <c r="G1060">
        <v>11</v>
      </c>
      <c r="H1060" t="s">
        <v>3618</v>
      </c>
      <c r="I1060" t="s">
        <v>3619</v>
      </c>
      <c r="K1060" t="s">
        <v>3620</v>
      </c>
      <c r="L1060" t="s">
        <v>3621</v>
      </c>
      <c r="M1060" t="s">
        <v>3622</v>
      </c>
      <c r="N1060" t="s">
        <v>3816</v>
      </c>
    </row>
    <row r="1061" spans="1:17" x14ac:dyDescent="0.25">
      <c r="A1061">
        <v>1911</v>
      </c>
      <c r="B1061" t="s">
        <v>13</v>
      </c>
      <c r="C1061" t="s">
        <v>3603</v>
      </c>
      <c r="D1061" t="s">
        <v>219</v>
      </c>
      <c r="E1061">
        <v>1406</v>
      </c>
      <c r="F1061" t="s">
        <v>431</v>
      </c>
      <c r="G1061">
        <v>11</v>
      </c>
      <c r="H1061" t="s">
        <v>472</v>
      </c>
      <c r="I1061" t="s">
        <v>3623</v>
      </c>
      <c r="K1061" t="s">
        <v>3940</v>
      </c>
      <c r="L1061" t="s">
        <v>3629</v>
      </c>
      <c r="M1061" t="s">
        <v>3624</v>
      </c>
      <c r="N1061" t="s">
        <v>3625</v>
      </c>
      <c r="O1061" t="s">
        <v>3626</v>
      </c>
    </row>
    <row r="1062" spans="1:17" x14ac:dyDescent="0.25">
      <c r="A1062">
        <v>1911</v>
      </c>
      <c r="B1062" t="s">
        <v>13</v>
      </c>
      <c r="C1062" t="s">
        <v>3603</v>
      </c>
      <c r="D1062" t="s">
        <v>219</v>
      </c>
      <c r="E1062">
        <v>1406</v>
      </c>
      <c r="F1062" t="s">
        <v>431</v>
      </c>
      <c r="G1062">
        <v>11</v>
      </c>
      <c r="H1062" s="8" t="s">
        <v>398</v>
      </c>
      <c r="I1062" t="s">
        <v>3678</v>
      </c>
      <c r="K1062" t="s">
        <v>3679</v>
      </c>
      <c r="L1062" t="s">
        <v>3680</v>
      </c>
      <c r="M1062" t="s">
        <v>3681</v>
      </c>
      <c r="N1062" t="s">
        <v>3820</v>
      </c>
      <c r="O1062" t="s">
        <v>3682</v>
      </c>
    </row>
    <row r="1063" spans="1:17" x14ac:dyDescent="0.25">
      <c r="A1063">
        <v>1911</v>
      </c>
      <c r="B1063" t="s">
        <v>13</v>
      </c>
      <c r="C1063" t="s">
        <v>3603</v>
      </c>
      <c r="D1063" t="s">
        <v>219</v>
      </c>
      <c r="E1063">
        <v>1406</v>
      </c>
      <c r="F1063" t="s">
        <v>431</v>
      </c>
      <c r="G1063">
        <v>11</v>
      </c>
      <c r="H1063" t="s">
        <v>389</v>
      </c>
      <c r="I1063" t="s">
        <v>3605</v>
      </c>
      <c r="K1063" t="s">
        <v>3888</v>
      </c>
      <c r="L1063" t="s">
        <v>3606</v>
      </c>
    </row>
    <row r="1064" spans="1:17" x14ac:dyDescent="0.25">
      <c r="A1064">
        <v>1911</v>
      </c>
      <c r="B1064" t="s">
        <v>13</v>
      </c>
      <c r="C1064" t="s">
        <v>3603</v>
      </c>
      <c r="D1064" t="s">
        <v>219</v>
      </c>
      <c r="E1064">
        <v>1406</v>
      </c>
      <c r="F1064" t="s">
        <v>431</v>
      </c>
      <c r="G1064">
        <v>11</v>
      </c>
      <c r="H1064" t="s">
        <v>292</v>
      </c>
      <c r="J1064" t="s">
        <v>3650</v>
      </c>
    </row>
    <row r="1065" spans="1:17" x14ac:dyDescent="0.25">
      <c r="A1065">
        <v>1911</v>
      </c>
      <c r="B1065" t="s">
        <v>13</v>
      </c>
      <c r="C1065" t="s">
        <v>3603</v>
      </c>
      <c r="D1065" t="s">
        <v>219</v>
      </c>
      <c r="E1065">
        <v>1406</v>
      </c>
      <c r="F1065" t="s">
        <v>431</v>
      </c>
      <c r="G1065">
        <v>11</v>
      </c>
      <c r="H1065" t="s">
        <v>469</v>
      </c>
      <c r="J1065" t="s">
        <v>3615</v>
      </c>
      <c r="K1065" t="s">
        <v>3616</v>
      </c>
    </row>
    <row r="1066" spans="1:17" x14ac:dyDescent="0.25">
      <c r="A1066">
        <v>1911</v>
      </c>
      <c r="B1066" t="s">
        <v>13</v>
      </c>
      <c r="C1066" t="s">
        <v>3603</v>
      </c>
      <c r="D1066" t="s">
        <v>219</v>
      </c>
      <c r="E1066">
        <v>1406</v>
      </c>
      <c r="F1066" t="s">
        <v>431</v>
      </c>
      <c r="G1066">
        <v>11</v>
      </c>
      <c r="H1066" t="s">
        <v>725</v>
      </c>
      <c r="J1066" t="s">
        <v>3659</v>
      </c>
      <c r="K1066" t="s">
        <v>3660</v>
      </c>
      <c r="L1066" t="s">
        <v>3661</v>
      </c>
      <c r="M1066" t="s">
        <v>3816</v>
      </c>
    </row>
    <row r="1067" spans="1:17" x14ac:dyDescent="0.25">
      <c r="A1067">
        <v>1911</v>
      </c>
      <c r="B1067" t="s">
        <v>13</v>
      </c>
      <c r="C1067" t="s">
        <v>3603</v>
      </c>
      <c r="D1067" t="s">
        <v>219</v>
      </c>
      <c r="E1067">
        <v>1406</v>
      </c>
      <c r="F1067" t="s">
        <v>431</v>
      </c>
      <c r="G1067">
        <v>11</v>
      </c>
      <c r="H1067" t="s">
        <v>679</v>
      </c>
      <c r="J1067" t="s">
        <v>3659</v>
      </c>
      <c r="K1067" t="s">
        <v>3660</v>
      </c>
      <c r="L1067" t="s">
        <v>3661</v>
      </c>
      <c r="M1067" t="s">
        <v>3816</v>
      </c>
    </row>
    <row r="1068" spans="1:17" x14ac:dyDescent="0.25">
      <c r="A1068">
        <v>1911</v>
      </c>
      <c r="B1068" t="s">
        <v>13</v>
      </c>
      <c r="C1068" t="s">
        <v>3603</v>
      </c>
      <c r="D1068" t="s">
        <v>219</v>
      </c>
      <c r="E1068">
        <v>1406</v>
      </c>
      <c r="F1068" t="s">
        <v>431</v>
      </c>
      <c r="G1068">
        <v>11</v>
      </c>
      <c r="H1068" t="s">
        <v>472</v>
      </c>
      <c r="J1068" t="s">
        <v>3632</v>
      </c>
      <c r="K1068" t="s">
        <v>3634</v>
      </c>
      <c r="L1068" t="s">
        <v>3816</v>
      </c>
      <c r="M1068" t="s">
        <v>3630</v>
      </c>
      <c r="N1068" t="s">
        <v>3631</v>
      </c>
    </row>
    <row r="1069" spans="1:17" x14ac:dyDescent="0.25">
      <c r="A1069">
        <v>1911</v>
      </c>
      <c r="B1069" t="s">
        <v>13</v>
      </c>
      <c r="C1069" t="s">
        <v>3603</v>
      </c>
      <c r="D1069" t="s">
        <v>219</v>
      </c>
      <c r="E1069">
        <v>1406</v>
      </c>
      <c r="F1069" t="s">
        <v>431</v>
      </c>
      <c r="G1069">
        <v>11</v>
      </c>
      <c r="H1069" t="s">
        <v>472</v>
      </c>
      <c r="J1069" t="s">
        <v>3633</v>
      </c>
      <c r="K1069" t="s">
        <v>3634</v>
      </c>
      <c r="L1069" t="s">
        <v>3635</v>
      </c>
      <c r="M1069" t="s">
        <v>3636</v>
      </c>
    </row>
    <row r="1070" spans="1:17" x14ac:dyDescent="0.25">
      <c r="A1070">
        <v>1911</v>
      </c>
      <c r="B1070" t="s">
        <v>13</v>
      </c>
      <c r="C1070" t="s">
        <v>3603</v>
      </c>
      <c r="D1070" t="s">
        <v>219</v>
      </c>
      <c r="E1070">
        <v>1406</v>
      </c>
      <c r="F1070" t="s">
        <v>431</v>
      </c>
      <c r="G1070">
        <v>11</v>
      </c>
      <c r="H1070" t="s">
        <v>430</v>
      </c>
      <c r="J1070" t="s">
        <v>3617</v>
      </c>
    </row>
    <row r="1071" spans="1:17" x14ac:dyDescent="0.25">
      <c r="A1071">
        <v>1911</v>
      </c>
      <c r="B1071" t="s">
        <v>13</v>
      </c>
      <c r="C1071" t="s">
        <v>3603</v>
      </c>
      <c r="D1071" t="s">
        <v>219</v>
      </c>
      <c r="E1071">
        <v>1406</v>
      </c>
      <c r="F1071" t="s">
        <v>431</v>
      </c>
      <c r="G1071">
        <v>11</v>
      </c>
      <c r="H1071" t="s">
        <v>3607</v>
      </c>
      <c r="K1071" t="s">
        <v>3608</v>
      </c>
    </row>
    <row r="1072" spans="1:17" x14ac:dyDescent="0.25">
      <c r="A1072">
        <v>1911</v>
      </c>
      <c r="B1072" t="s">
        <v>13</v>
      </c>
      <c r="C1072" t="s">
        <v>3603</v>
      </c>
      <c r="D1072" t="s">
        <v>219</v>
      </c>
      <c r="E1072">
        <v>1406</v>
      </c>
      <c r="F1072" t="s">
        <v>431</v>
      </c>
      <c r="G1072">
        <v>11</v>
      </c>
      <c r="H1072" t="s">
        <v>764</v>
      </c>
      <c r="K1072" t="s">
        <v>3614</v>
      </c>
      <c r="Q1072" t="s">
        <v>3613</v>
      </c>
    </row>
    <row r="1073" spans="1:13" x14ac:dyDescent="0.25">
      <c r="A1073">
        <v>1911</v>
      </c>
      <c r="B1073" t="s">
        <v>13</v>
      </c>
      <c r="C1073" t="s">
        <v>3603</v>
      </c>
      <c r="D1073" t="s">
        <v>219</v>
      </c>
      <c r="E1073">
        <v>1406</v>
      </c>
      <c r="F1073" t="s">
        <v>431</v>
      </c>
      <c r="G1073">
        <v>11</v>
      </c>
      <c r="H1073" t="s">
        <v>3676</v>
      </c>
    </row>
    <row r="1074" spans="1:13" x14ac:dyDescent="0.25">
      <c r="A1074">
        <v>1911</v>
      </c>
      <c r="B1074" t="s">
        <v>13</v>
      </c>
      <c r="C1074" t="s">
        <v>3603</v>
      </c>
      <c r="D1074" t="s">
        <v>219</v>
      </c>
      <c r="E1074">
        <v>1406</v>
      </c>
      <c r="F1074" t="s">
        <v>431</v>
      </c>
      <c r="G1074">
        <v>11</v>
      </c>
      <c r="H1074" t="s">
        <v>679</v>
      </c>
      <c r="K1074" t="s">
        <v>1100</v>
      </c>
    </row>
    <row r="1075" spans="1:13" x14ac:dyDescent="0.25">
      <c r="A1075">
        <v>1921</v>
      </c>
      <c r="B1075" t="s">
        <v>19</v>
      </c>
      <c r="C1075" t="s">
        <v>3603</v>
      </c>
      <c r="D1075" t="s">
        <v>219</v>
      </c>
      <c r="E1075">
        <v>1406</v>
      </c>
      <c r="F1075" t="s">
        <v>431</v>
      </c>
      <c r="G1075">
        <v>23</v>
      </c>
      <c r="H1075" t="s">
        <v>389</v>
      </c>
      <c r="I1075" t="s">
        <v>3689</v>
      </c>
      <c r="K1075" t="s">
        <v>3690</v>
      </c>
      <c r="L1075" t="s">
        <v>3691</v>
      </c>
    </row>
    <row r="1076" spans="1:13" x14ac:dyDescent="0.25">
      <c r="A1076">
        <v>1921</v>
      </c>
      <c r="B1076" t="s">
        <v>19</v>
      </c>
      <c r="C1076" t="s">
        <v>3603</v>
      </c>
      <c r="D1076" t="s">
        <v>219</v>
      </c>
      <c r="E1076">
        <v>1406</v>
      </c>
      <c r="F1076" t="s">
        <v>431</v>
      </c>
      <c r="G1076">
        <v>23</v>
      </c>
      <c r="H1076" t="s">
        <v>488</v>
      </c>
      <c r="I1076" t="s">
        <v>3689</v>
      </c>
      <c r="K1076" t="s">
        <v>3690</v>
      </c>
    </row>
    <row r="1077" spans="1:13" x14ac:dyDescent="0.25">
      <c r="A1077">
        <v>1921</v>
      </c>
      <c r="B1077" t="s">
        <v>19</v>
      </c>
      <c r="C1077" t="s">
        <v>3603</v>
      </c>
      <c r="D1077" t="s">
        <v>219</v>
      </c>
      <c r="E1077">
        <v>1406</v>
      </c>
      <c r="F1077" t="s">
        <v>431</v>
      </c>
      <c r="G1077">
        <v>23</v>
      </c>
      <c r="H1077" t="s">
        <v>679</v>
      </c>
      <c r="I1077" t="s">
        <v>3731</v>
      </c>
      <c r="K1077" t="s">
        <v>3732</v>
      </c>
    </row>
    <row r="1078" spans="1:13" x14ac:dyDescent="0.25">
      <c r="A1078">
        <v>1921</v>
      </c>
      <c r="B1078" t="s">
        <v>19</v>
      </c>
      <c r="C1078" t="s">
        <v>3603</v>
      </c>
      <c r="D1078" t="s">
        <v>219</v>
      </c>
      <c r="E1078">
        <v>1406</v>
      </c>
      <c r="F1078" t="s">
        <v>431</v>
      </c>
      <c r="G1078">
        <v>23</v>
      </c>
      <c r="H1078" s="8" t="s">
        <v>398</v>
      </c>
      <c r="I1078" t="s">
        <v>3733</v>
      </c>
      <c r="K1078" t="s">
        <v>3727</v>
      </c>
      <c r="L1078" t="s">
        <v>3734</v>
      </c>
    </row>
    <row r="1079" spans="1:13" x14ac:dyDescent="0.25">
      <c r="A1079">
        <v>1921</v>
      </c>
      <c r="B1079" t="s">
        <v>19</v>
      </c>
      <c r="C1079" t="s">
        <v>3603</v>
      </c>
      <c r="D1079" t="s">
        <v>219</v>
      </c>
      <c r="E1079">
        <v>1406</v>
      </c>
      <c r="F1079" t="s">
        <v>431</v>
      </c>
      <c r="G1079">
        <v>23</v>
      </c>
      <c r="H1079" s="8" t="s">
        <v>398</v>
      </c>
      <c r="I1079" t="s">
        <v>3729</v>
      </c>
      <c r="K1079" t="s">
        <v>3730</v>
      </c>
      <c r="L1079" t="s">
        <v>3827</v>
      </c>
    </row>
    <row r="1080" spans="1:13" x14ac:dyDescent="0.25">
      <c r="A1080">
        <v>1921</v>
      </c>
      <c r="B1080" t="s">
        <v>19</v>
      </c>
      <c r="C1080" t="s">
        <v>3603</v>
      </c>
      <c r="D1080" t="s">
        <v>219</v>
      </c>
      <c r="E1080">
        <v>1406</v>
      </c>
      <c r="F1080" t="s">
        <v>431</v>
      </c>
      <c r="G1080">
        <v>23</v>
      </c>
      <c r="H1080" t="s">
        <v>725</v>
      </c>
      <c r="I1080" t="s">
        <v>3729</v>
      </c>
      <c r="K1080" t="s">
        <v>3730</v>
      </c>
      <c r="L1080" t="s">
        <v>3827</v>
      </c>
    </row>
    <row r="1081" spans="1:13" x14ac:dyDescent="0.25">
      <c r="A1081">
        <v>1921</v>
      </c>
      <c r="B1081" t="s">
        <v>19</v>
      </c>
      <c r="C1081" t="s">
        <v>3603</v>
      </c>
      <c r="D1081" t="s">
        <v>219</v>
      </c>
      <c r="E1081">
        <v>1406</v>
      </c>
      <c r="F1081" t="s">
        <v>431</v>
      </c>
      <c r="G1081">
        <v>23</v>
      </c>
      <c r="H1081" t="s">
        <v>645</v>
      </c>
      <c r="I1081" t="s">
        <v>3708</v>
      </c>
      <c r="K1081" t="s">
        <v>3703</v>
      </c>
      <c r="L1081" t="s">
        <v>3709</v>
      </c>
      <c r="M1081" t="s">
        <v>3710</v>
      </c>
    </row>
    <row r="1082" spans="1:13" x14ac:dyDescent="0.25">
      <c r="A1082">
        <v>1921</v>
      </c>
      <c r="B1082" t="s">
        <v>19</v>
      </c>
      <c r="C1082" t="s">
        <v>3603</v>
      </c>
      <c r="D1082" t="s">
        <v>219</v>
      </c>
      <c r="E1082">
        <v>1406</v>
      </c>
      <c r="F1082" t="s">
        <v>431</v>
      </c>
      <c r="G1082">
        <v>23</v>
      </c>
      <c r="H1082" s="8" t="s">
        <v>398</v>
      </c>
      <c r="I1082" t="s">
        <v>3685</v>
      </c>
      <c r="K1082" t="s">
        <v>3828</v>
      </c>
      <c r="L1082" t="s">
        <v>3829</v>
      </c>
    </row>
    <row r="1083" spans="1:13" x14ac:dyDescent="0.25">
      <c r="A1083">
        <v>1921</v>
      </c>
      <c r="B1083" t="s">
        <v>19</v>
      </c>
      <c r="C1083" t="s">
        <v>3603</v>
      </c>
      <c r="D1083" t="s">
        <v>219</v>
      </c>
      <c r="E1083">
        <v>1406</v>
      </c>
      <c r="F1083" t="s">
        <v>431</v>
      </c>
      <c r="G1083">
        <v>23</v>
      </c>
      <c r="H1083" s="8" t="s">
        <v>398</v>
      </c>
      <c r="I1083" t="s">
        <v>3664</v>
      </c>
      <c r="K1083" t="s">
        <v>3720</v>
      </c>
      <c r="L1083" t="s">
        <v>3721</v>
      </c>
    </row>
    <row r="1084" spans="1:13" x14ac:dyDescent="0.25">
      <c r="A1084">
        <v>1921</v>
      </c>
      <c r="B1084" t="s">
        <v>19</v>
      </c>
      <c r="C1084" t="s">
        <v>3603</v>
      </c>
      <c r="D1084" t="s">
        <v>219</v>
      </c>
      <c r="E1084">
        <v>1406</v>
      </c>
      <c r="F1084" t="s">
        <v>431</v>
      </c>
      <c r="G1084">
        <v>23</v>
      </c>
      <c r="H1084" t="s">
        <v>679</v>
      </c>
      <c r="I1084" t="s">
        <v>3664</v>
      </c>
      <c r="K1084" t="s">
        <v>3720</v>
      </c>
      <c r="L1084" t="s">
        <v>3721</v>
      </c>
    </row>
    <row r="1085" spans="1:13" x14ac:dyDescent="0.25">
      <c r="A1085">
        <v>1921</v>
      </c>
      <c r="B1085" t="s">
        <v>19</v>
      </c>
      <c r="C1085" t="s">
        <v>3603</v>
      </c>
      <c r="D1085" t="s">
        <v>219</v>
      </c>
      <c r="E1085">
        <v>1406</v>
      </c>
      <c r="F1085" t="s">
        <v>431</v>
      </c>
      <c r="G1085">
        <v>23</v>
      </c>
      <c r="H1085" s="8" t="s">
        <v>398</v>
      </c>
      <c r="I1085" t="s">
        <v>3735</v>
      </c>
      <c r="K1085" t="s">
        <v>3736</v>
      </c>
      <c r="L1085" t="s">
        <v>3737</v>
      </c>
    </row>
    <row r="1086" spans="1:13" x14ac:dyDescent="0.25">
      <c r="A1086">
        <v>1921</v>
      </c>
      <c r="B1086" t="s">
        <v>19</v>
      </c>
      <c r="C1086" t="s">
        <v>3603</v>
      </c>
      <c r="D1086" t="s">
        <v>219</v>
      </c>
      <c r="E1086">
        <v>1406</v>
      </c>
      <c r="F1086" t="s">
        <v>431</v>
      </c>
      <c r="G1086">
        <v>23</v>
      </c>
      <c r="H1086" t="s">
        <v>679</v>
      </c>
      <c r="I1086" t="s">
        <v>3722</v>
      </c>
      <c r="K1086" t="s">
        <v>3723</v>
      </c>
      <c r="L1086" t="s">
        <v>3723</v>
      </c>
      <c r="M1086" t="s">
        <v>3724</v>
      </c>
    </row>
    <row r="1087" spans="1:13" x14ac:dyDescent="0.25">
      <c r="A1087">
        <v>1921</v>
      </c>
      <c r="B1087" t="s">
        <v>19</v>
      </c>
      <c r="C1087" t="s">
        <v>3603</v>
      </c>
      <c r="D1087" t="s">
        <v>219</v>
      </c>
      <c r="E1087">
        <v>1406</v>
      </c>
      <c r="F1087" t="s">
        <v>431</v>
      </c>
      <c r="G1087">
        <v>23</v>
      </c>
      <c r="H1087" s="8" t="s">
        <v>398</v>
      </c>
      <c r="I1087" t="s">
        <v>3716</v>
      </c>
      <c r="K1087" t="s">
        <v>3717</v>
      </c>
    </row>
    <row r="1088" spans="1:13" x14ac:dyDescent="0.25">
      <c r="A1088">
        <v>1921</v>
      </c>
      <c r="B1088" t="s">
        <v>19</v>
      </c>
      <c r="C1088" t="s">
        <v>3603</v>
      </c>
      <c r="D1088" t="s">
        <v>219</v>
      </c>
      <c r="E1088">
        <v>1406</v>
      </c>
      <c r="F1088" t="s">
        <v>431</v>
      </c>
      <c r="G1088">
        <v>23</v>
      </c>
      <c r="H1088" s="8" t="s">
        <v>398</v>
      </c>
      <c r="I1088" t="s">
        <v>3713</v>
      </c>
      <c r="K1088" t="s">
        <v>3714</v>
      </c>
      <c r="L1088" t="s">
        <v>3715</v>
      </c>
    </row>
    <row r="1089" spans="1:13" x14ac:dyDescent="0.25">
      <c r="A1089">
        <v>1921</v>
      </c>
      <c r="B1089" t="s">
        <v>19</v>
      </c>
      <c r="C1089" t="s">
        <v>3603</v>
      </c>
      <c r="D1089" t="s">
        <v>219</v>
      </c>
      <c r="E1089">
        <v>1406</v>
      </c>
      <c r="F1089" t="s">
        <v>431</v>
      </c>
      <c r="G1089">
        <v>23</v>
      </c>
      <c r="H1089" t="s">
        <v>679</v>
      </c>
      <c r="I1089" t="s">
        <v>3738</v>
      </c>
      <c r="K1089" t="s">
        <v>3739</v>
      </c>
      <c r="L1089" t="s">
        <v>3830</v>
      </c>
    </row>
    <row r="1090" spans="1:13" x14ac:dyDescent="0.25">
      <c r="A1090">
        <v>1921</v>
      </c>
      <c r="B1090" t="s">
        <v>19</v>
      </c>
      <c r="C1090" t="s">
        <v>3603</v>
      </c>
      <c r="D1090" t="s">
        <v>219</v>
      </c>
      <c r="E1090">
        <v>1406</v>
      </c>
      <c r="F1090" t="s">
        <v>431</v>
      </c>
      <c r="G1090">
        <v>23</v>
      </c>
      <c r="H1090" t="s">
        <v>1816</v>
      </c>
      <c r="I1090" t="s">
        <v>3695</v>
      </c>
      <c r="K1090" t="s">
        <v>3824</v>
      </c>
      <c r="L1090" t="s">
        <v>3696</v>
      </c>
    </row>
    <row r="1091" spans="1:13" x14ac:dyDescent="0.25">
      <c r="A1091">
        <v>1921</v>
      </c>
      <c r="B1091" t="s">
        <v>19</v>
      </c>
      <c r="C1091" t="s">
        <v>3603</v>
      </c>
      <c r="D1091" t="s">
        <v>219</v>
      </c>
      <c r="E1091">
        <v>1406</v>
      </c>
      <c r="F1091" t="s">
        <v>431</v>
      </c>
      <c r="G1091">
        <v>23</v>
      </c>
      <c r="H1091" s="8" t="s">
        <v>398</v>
      </c>
      <c r="I1091" t="s">
        <v>3725</v>
      </c>
      <c r="K1091" t="s">
        <v>3726</v>
      </c>
      <c r="L1091" t="s">
        <v>3728</v>
      </c>
    </row>
    <row r="1092" spans="1:13" x14ac:dyDescent="0.25">
      <c r="A1092">
        <v>1921</v>
      </c>
      <c r="B1092" t="s">
        <v>19</v>
      </c>
      <c r="C1092" t="s">
        <v>3603</v>
      </c>
      <c r="D1092" t="s">
        <v>219</v>
      </c>
      <c r="E1092">
        <v>1406</v>
      </c>
      <c r="F1092" t="s">
        <v>431</v>
      </c>
      <c r="G1092">
        <v>23</v>
      </c>
      <c r="H1092" t="s">
        <v>1816</v>
      </c>
      <c r="I1092" t="s">
        <v>3700</v>
      </c>
      <c r="K1092" t="s">
        <v>3701</v>
      </c>
      <c r="L1092" t="s">
        <v>3704</v>
      </c>
    </row>
    <row r="1093" spans="1:13" x14ac:dyDescent="0.25">
      <c r="A1093">
        <v>1921</v>
      </c>
      <c r="B1093" t="s">
        <v>19</v>
      </c>
      <c r="C1093" t="s">
        <v>3603</v>
      </c>
      <c r="D1093" t="s">
        <v>219</v>
      </c>
      <c r="E1093">
        <v>1406</v>
      </c>
      <c r="F1093" t="s">
        <v>431</v>
      </c>
      <c r="G1093">
        <v>23</v>
      </c>
      <c r="H1093" t="s">
        <v>645</v>
      </c>
      <c r="I1093" t="s">
        <v>3706</v>
      </c>
      <c r="K1093" t="s">
        <v>3818</v>
      </c>
      <c r="L1093" t="s">
        <v>3707</v>
      </c>
    </row>
    <row r="1094" spans="1:13" x14ac:dyDescent="0.25">
      <c r="A1094">
        <v>1921</v>
      </c>
      <c r="B1094" t="s">
        <v>19</v>
      </c>
      <c r="C1094" t="s">
        <v>3603</v>
      </c>
      <c r="D1094" t="s">
        <v>219</v>
      </c>
      <c r="E1094">
        <v>1406</v>
      </c>
      <c r="F1094" t="s">
        <v>431</v>
      </c>
      <c r="G1094">
        <v>23</v>
      </c>
      <c r="H1094" s="8" t="s">
        <v>398</v>
      </c>
      <c r="I1094" t="s">
        <v>3718</v>
      </c>
      <c r="K1094" t="s">
        <v>3719</v>
      </c>
    </row>
    <row r="1095" spans="1:13" x14ac:dyDescent="0.25">
      <c r="A1095">
        <v>1921</v>
      </c>
      <c r="B1095" t="s">
        <v>19</v>
      </c>
      <c r="C1095" t="s">
        <v>3603</v>
      </c>
      <c r="D1095" t="s">
        <v>219</v>
      </c>
      <c r="E1095">
        <v>1406</v>
      </c>
      <c r="F1095" t="s">
        <v>431</v>
      </c>
      <c r="G1095">
        <v>23</v>
      </c>
      <c r="H1095" t="s">
        <v>645</v>
      </c>
      <c r="I1095" t="s">
        <v>3702</v>
      </c>
      <c r="K1095" t="s">
        <v>3703</v>
      </c>
      <c r="L1095" t="s">
        <v>3705</v>
      </c>
      <c r="M1095" t="s">
        <v>3694</v>
      </c>
    </row>
    <row r="1096" spans="1:13" x14ac:dyDescent="0.25">
      <c r="A1096">
        <v>1921</v>
      </c>
      <c r="B1096" t="s">
        <v>19</v>
      </c>
      <c r="C1096" t="s">
        <v>3603</v>
      </c>
      <c r="D1096" t="s">
        <v>219</v>
      </c>
      <c r="E1096">
        <v>1406</v>
      </c>
      <c r="F1096" t="s">
        <v>431</v>
      </c>
      <c r="G1096">
        <v>23</v>
      </c>
      <c r="H1096" t="s">
        <v>389</v>
      </c>
      <c r="I1096" t="s">
        <v>3692</v>
      </c>
      <c r="K1096" t="s">
        <v>3824</v>
      </c>
    </row>
    <row r="1097" spans="1:13" x14ac:dyDescent="0.25">
      <c r="A1097">
        <v>1921</v>
      </c>
      <c r="B1097" t="s">
        <v>19</v>
      </c>
      <c r="C1097" t="s">
        <v>3603</v>
      </c>
      <c r="D1097" t="s">
        <v>219</v>
      </c>
      <c r="E1097">
        <v>1406</v>
      </c>
      <c r="F1097" t="s">
        <v>431</v>
      </c>
      <c r="G1097">
        <v>23</v>
      </c>
      <c r="H1097" t="s">
        <v>488</v>
      </c>
      <c r="J1097" t="s">
        <v>3697</v>
      </c>
      <c r="K1097" t="s">
        <v>3698</v>
      </c>
      <c r="L1097" t="s">
        <v>3699</v>
      </c>
    </row>
    <row r="1098" spans="1:13" x14ac:dyDescent="0.25">
      <c r="A1098">
        <v>1921</v>
      </c>
      <c r="B1098" t="s">
        <v>19</v>
      </c>
      <c r="C1098" t="s">
        <v>3603</v>
      </c>
      <c r="D1098" t="s">
        <v>219</v>
      </c>
      <c r="E1098">
        <v>1406</v>
      </c>
      <c r="F1098" t="s">
        <v>431</v>
      </c>
      <c r="G1098">
        <v>23</v>
      </c>
      <c r="H1098" s="8" t="s">
        <v>417</v>
      </c>
      <c r="J1098" t="s">
        <v>3711</v>
      </c>
      <c r="K1098" t="s">
        <v>3712</v>
      </c>
      <c r="L1098" t="s">
        <v>3826</v>
      </c>
    </row>
    <row r="1099" spans="1:13" x14ac:dyDescent="0.25">
      <c r="A1099">
        <v>1921</v>
      </c>
      <c r="B1099" t="s">
        <v>19</v>
      </c>
      <c r="C1099" t="s">
        <v>3603</v>
      </c>
      <c r="D1099" t="s">
        <v>219</v>
      </c>
      <c r="E1099">
        <v>1406</v>
      </c>
      <c r="F1099" t="s">
        <v>431</v>
      </c>
      <c r="G1099">
        <v>23</v>
      </c>
      <c r="H1099" t="s">
        <v>488</v>
      </c>
      <c r="K1099" t="s">
        <v>3693</v>
      </c>
      <c r="L1099" t="s">
        <v>3694</v>
      </c>
      <c r="M1099" t="s">
        <v>3825</v>
      </c>
    </row>
    <row r="1100" spans="1:13" x14ac:dyDescent="0.25">
      <c r="A1100">
        <v>1921</v>
      </c>
      <c r="B1100" t="s">
        <v>19</v>
      </c>
      <c r="C1100" t="s">
        <v>3603</v>
      </c>
      <c r="D1100" t="s">
        <v>219</v>
      </c>
      <c r="E1100">
        <v>1406</v>
      </c>
      <c r="F1100" t="s">
        <v>431</v>
      </c>
      <c r="G1100">
        <v>23</v>
      </c>
      <c r="H1100" t="s">
        <v>1816</v>
      </c>
      <c r="K1100" t="s">
        <v>3693</v>
      </c>
      <c r="L1100" t="s">
        <v>3694</v>
      </c>
      <c r="M1100" t="s">
        <v>3825</v>
      </c>
    </row>
    <row r="1101" spans="1:13" x14ac:dyDescent="0.25">
      <c r="B1101" t="s">
        <v>389</v>
      </c>
    </row>
    <row r="1102" spans="1:13" x14ac:dyDescent="0.25">
      <c r="B1102" t="s">
        <v>604</v>
      </c>
    </row>
    <row r="1103" spans="1:13" x14ac:dyDescent="0.25">
      <c r="B1103" t="s">
        <v>663</v>
      </c>
    </row>
    <row r="1104" spans="1:13" x14ac:dyDescent="0.25">
      <c r="B1104" t="s">
        <v>389</v>
      </c>
    </row>
    <row r="1105" spans="2:2" x14ac:dyDescent="0.25">
      <c r="B1105" t="s">
        <v>389</v>
      </c>
    </row>
    <row r="1106" spans="2:2" x14ac:dyDescent="0.25">
      <c r="B1106" s="5" t="s">
        <v>389</v>
      </c>
    </row>
    <row r="1107" spans="2:2" x14ac:dyDescent="0.25">
      <c r="B1107" s="5" t="s">
        <v>764</v>
      </c>
    </row>
    <row r="1108" spans="2:2" x14ac:dyDescent="0.25">
      <c r="B1108" s="5" t="s">
        <v>663</v>
      </c>
    </row>
    <row r="1109" spans="2:2" x14ac:dyDescent="0.25">
      <c r="B1109" s="5" t="s">
        <v>389</v>
      </c>
    </row>
    <row r="1110" spans="2:2" x14ac:dyDescent="0.25">
      <c r="B1110" s="5" t="s">
        <v>540</v>
      </c>
    </row>
    <row r="1111" spans="2:2" x14ac:dyDescent="0.25">
      <c r="B1111" s="5" t="s">
        <v>540</v>
      </c>
    </row>
    <row r="1112" spans="2:2" x14ac:dyDescent="0.25">
      <c r="B1112" s="5" t="s">
        <v>389</v>
      </c>
    </row>
    <row r="1113" spans="2:2" x14ac:dyDescent="0.25">
      <c r="B1113" s="5" t="s">
        <v>389</v>
      </c>
    </row>
    <row r="1114" spans="2:2" x14ac:dyDescent="0.25">
      <c r="B1114" t="s">
        <v>389</v>
      </c>
    </row>
    <row r="1115" spans="2:2" x14ac:dyDescent="0.25">
      <c r="B1115" t="s">
        <v>540</v>
      </c>
    </row>
    <row r="1116" spans="2:2" x14ac:dyDescent="0.25">
      <c r="B1116" t="s">
        <v>389</v>
      </c>
    </row>
    <row r="1117" spans="2:2" x14ac:dyDescent="0.25">
      <c r="B1117" t="s">
        <v>389</v>
      </c>
    </row>
    <row r="1118" spans="2:2" x14ac:dyDescent="0.25">
      <c r="B1118" t="s">
        <v>540</v>
      </c>
    </row>
    <row r="1119" spans="2:2" x14ac:dyDescent="0.25">
      <c r="B1119" t="s">
        <v>764</v>
      </c>
    </row>
    <row r="1120" spans="2:2" x14ac:dyDescent="0.25">
      <c r="B1120" t="s">
        <v>764</v>
      </c>
    </row>
    <row r="1121" spans="2:2" x14ac:dyDescent="0.25">
      <c r="B1121" t="s">
        <v>389</v>
      </c>
    </row>
    <row r="1122" spans="2:2" x14ac:dyDescent="0.25">
      <c r="B1122" t="s">
        <v>389</v>
      </c>
    </row>
    <row r="1123" spans="2:2" x14ac:dyDescent="0.25">
      <c r="B1123" t="s">
        <v>389</v>
      </c>
    </row>
    <row r="1124" spans="2:2" x14ac:dyDescent="0.25">
      <c r="B1124" t="s">
        <v>389</v>
      </c>
    </row>
    <row r="1125" spans="2:2" x14ac:dyDescent="0.25">
      <c r="B1125" t="s">
        <v>389</v>
      </c>
    </row>
    <row r="1126" spans="2:2" x14ac:dyDescent="0.25">
      <c r="B1126" t="s">
        <v>389</v>
      </c>
    </row>
    <row r="1127" spans="2:2" x14ac:dyDescent="0.25">
      <c r="B1127" t="s">
        <v>389</v>
      </c>
    </row>
    <row r="1128" spans="2:2" x14ac:dyDescent="0.25">
      <c r="B1128" t="s">
        <v>389</v>
      </c>
    </row>
    <row r="1129" spans="2:2" x14ac:dyDescent="0.25">
      <c r="B1129" t="s">
        <v>389</v>
      </c>
    </row>
    <row r="1130" spans="2:2" x14ac:dyDescent="0.25">
      <c r="B1130" t="s">
        <v>389</v>
      </c>
    </row>
    <row r="1131" spans="2:2" x14ac:dyDescent="0.25">
      <c r="B1131" t="s">
        <v>3607</v>
      </c>
    </row>
    <row r="1132" spans="2:2" x14ac:dyDescent="0.25">
      <c r="B1132" t="s">
        <v>764</v>
      </c>
    </row>
    <row r="1133" spans="2:2" x14ac:dyDescent="0.25">
      <c r="B1133" t="s">
        <v>389</v>
      </c>
    </row>
    <row r="1134" spans="2:2" x14ac:dyDescent="0.25">
      <c r="B1134" t="s">
        <v>389</v>
      </c>
    </row>
  </sheetData>
  <autoFilter ref="A1:R1134" xr:uid="{4EBF2396-3AAB-47AC-B4E1-93AF75A8C4E0}">
    <sortState xmlns:xlrd2="http://schemas.microsoft.com/office/spreadsheetml/2017/richdata2" ref="A2:R1100">
      <sortCondition ref="A1:A1100"/>
    </sortState>
  </autoFilter>
  <sortState xmlns:xlrd2="http://schemas.microsoft.com/office/spreadsheetml/2017/richdata2" ref="A2:R1100">
    <sortCondition ref="A2:A1100"/>
  </sortState>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6526-7BD9-4C39-95FF-0E6E95F386A1}">
  <dimension ref="A2:N72"/>
  <sheetViews>
    <sheetView topLeftCell="A44" workbookViewId="0">
      <selection activeCell="H52" sqref="H52"/>
    </sheetView>
  </sheetViews>
  <sheetFormatPr baseColWidth="10" defaultRowHeight="15" x14ac:dyDescent="0.25"/>
  <cols>
    <col min="1" max="1" width="23.5703125" bestFit="1" customWidth="1"/>
    <col min="2" max="2" width="23.85546875" bestFit="1" customWidth="1"/>
    <col min="3" max="3" width="10" bestFit="1" customWidth="1"/>
    <col min="4" max="4" width="32.7109375" bestFit="1" customWidth="1"/>
    <col min="5" max="5" width="22.85546875" bestFit="1" customWidth="1"/>
    <col min="6" max="6" width="46.140625" bestFit="1" customWidth="1"/>
    <col min="7" max="8" width="12.5703125" bestFit="1" customWidth="1"/>
    <col min="9" max="9" width="21.7109375" customWidth="1"/>
    <col min="10" max="11" width="2" bestFit="1" customWidth="1"/>
    <col min="12" max="12" width="4.7109375" bestFit="1" customWidth="1"/>
    <col min="13" max="13" width="4.140625" bestFit="1" customWidth="1"/>
    <col min="14" max="14" width="6.85546875" bestFit="1" customWidth="1"/>
    <col min="15" max="15" width="3.85546875" bestFit="1" customWidth="1"/>
    <col min="16" max="16" width="6.85546875" bestFit="1" customWidth="1"/>
    <col min="17" max="17" width="3.85546875" bestFit="1" customWidth="1"/>
    <col min="18" max="18" width="6.85546875" bestFit="1" customWidth="1"/>
    <col min="19" max="19" width="6.5703125" bestFit="1" customWidth="1"/>
    <col min="20" max="20" width="4.7109375" bestFit="1" customWidth="1"/>
    <col min="21" max="21" width="4.140625" bestFit="1" customWidth="1"/>
    <col min="22" max="22" width="9.5703125" bestFit="1" customWidth="1"/>
    <col min="23" max="23" width="6" bestFit="1" customWidth="1"/>
    <col min="24" max="24" width="4.140625" bestFit="1" customWidth="1"/>
    <col min="25" max="25" width="9" bestFit="1" customWidth="1"/>
    <col min="26" max="26" width="8.140625" bestFit="1" customWidth="1"/>
    <col min="27" max="27" width="11.140625" bestFit="1" customWidth="1"/>
    <col min="28" max="28" width="6.85546875" bestFit="1" customWidth="1"/>
    <col min="29" max="29" width="3.85546875" bestFit="1" customWidth="1"/>
    <col min="30" max="30" width="6.5703125" bestFit="1" customWidth="1"/>
    <col min="31" max="31" width="6" bestFit="1" customWidth="1"/>
    <col min="32" max="32" width="8.140625" bestFit="1" customWidth="1"/>
    <col min="33" max="33" width="12.5703125" bestFit="1" customWidth="1"/>
    <col min="34" max="34" width="4.7109375" bestFit="1" customWidth="1"/>
    <col min="35" max="35" width="4.140625" bestFit="1" customWidth="1"/>
    <col min="36" max="37" width="9" bestFit="1" customWidth="1"/>
    <col min="38" max="38" width="8.140625" bestFit="1" customWidth="1"/>
    <col min="39" max="40" width="11.140625" bestFit="1" customWidth="1"/>
    <col min="41" max="41" width="12.5703125" bestFit="1" customWidth="1"/>
    <col min="42" max="42" width="4.140625" bestFit="1" customWidth="1"/>
    <col min="43" max="44" width="9" bestFit="1" customWidth="1"/>
    <col min="45" max="45" width="8.140625" bestFit="1" customWidth="1"/>
    <col min="46" max="47" width="11.140625" bestFit="1" customWidth="1"/>
    <col min="48" max="48" width="12.5703125" bestFit="1" customWidth="1"/>
    <col min="49" max="50" width="2" bestFit="1" customWidth="1"/>
    <col min="51" max="51" width="4" bestFit="1" customWidth="1"/>
    <col min="52" max="52" width="2" bestFit="1" customWidth="1"/>
    <col min="53" max="53" width="15.42578125" bestFit="1" customWidth="1"/>
    <col min="54" max="54" width="4.7109375" bestFit="1" customWidth="1"/>
    <col min="55" max="55" width="4.140625" bestFit="1" customWidth="1"/>
    <col min="56" max="56" width="9.5703125" bestFit="1" customWidth="1"/>
    <col min="57" max="57" width="6" bestFit="1" customWidth="1"/>
    <col min="58" max="58" width="4.140625" bestFit="1" customWidth="1"/>
    <col min="59" max="59" width="9" bestFit="1" customWidth="1"/>
    <col min="60" max="60" width="9.5703125" bestFit="1" customWidth="1"/>
    <col min="61" max="61" width="6" bestFit="1" customWidth="1"/>
    <col min="62" max="62" width="4.140625" bestFit="1" customWidth="1"/>
    <col min="63" max="63" width="6.85546875" bestFit="1" customWidth="1"/>
    <col min="64" max="64" width="6.5703125" bestFit="1" customWidth="1"/>
    <col min="65" max="65" width="9.5703125" bestFit="1" customWidth="1"/>
    <col min="66" max="66" width="6" bestFit="1" customWidth="1"/>
    <col min="67" max="67" width="4.7109375" bestFit="1" customWidth="1"/>
    <col min="68" max="68" width="4.140625" bestFit="1" customWidth="1"/>
    <col min="69" max="70" width="9" bestFit="1" customWidth="1"/>
    <col min="71" max="71" width="8.140625" bestFit="1" customWidth="1"/>
    <col min="72" max="73" width="11.140625" bestFit="1" customWidth="1"/>
    <col min="74" max="74" width="12.5703125" bestFit="1" customWidth="1"/>
  </cols>
  <sheetData>
    <row r="2" spans="1:2" x14ac:dyDescent="0.25">
      <c r="A2" s="33" t="s">
        <v>273</v>
      </c>
      <c r="B2" t="s">
        <v>3900</v>
      </c>
    </row>
    <row r="3" spans="1:2" x14ac:dyDescent="0.25">
      <c r="A3" s="33" t="s">
        <v>3418</v>
      </c>
      <c r="B3" t="s">
        <v>3900</v>
      </c>
    </row>
    <row r="4" spans="1:2" x14ac:dyDescent="0.25">
      <c r="A4" s="33" t="s">
        <v>3036</v>
      </c>
      <c r="B4" t="s">
        <v>3900</v>
      </c>
    </row>
    <row r="5" spans="1:2" x14ac:dyDescent="0.25">
      <c r="A5" s="33" t="s">
        <v>1603</v>
      </c>
      <c r="B5" t="s">
        <v>3900</v>
      </c>
    </row>
    <row r="6" spans="1:2" x14ac:dyDescent="0.25">
      <c r="A6" s="33" t="s">
        <v>3244</v>
      </c>
      <c r="B6" t="s">
        <v>3900</v>
      </c>
    </row>
    <row r="7" spans="1:2" x14ac:dyDescent="0.25">
      <c r="A7" s="33" t="s">
        <v>3193</v>
      </c>
      <c r="B7" t="s">
        <v>3900</v>
      </c>
    </row>
    <row r="8" spans="1:2" x14ac:dyDescent="0.25">
      <c r="A8" s="33" t="s">
        <v>2984</v>
      </c>
      <c r="B8" t="s">
        <v>3900</v>
      </c>
    </row>
    <row r="9" spans="1:2" x14ac:dyDescent="0.25">
      <c r="A9" s="33" t="s">
        <v>2747</v>
      </c>
      <c r="B9" t="s">
        <v>3900</v>
      </c>
    </row>
    <row r="10" spans="1:2" x14ac:dyDescent="0.25">
      <c r="A10" s="33" t="s">
        <v>2638</v>
      </c>
      <c r="B10" t="s">
        <v>3900</v>
      </c>
    </row>
    <row r="11" spans="1:2" x14ac:dyDescent="0.25">
      <c r="A11" s="33" t="s">
        <v>1599</v>
      </c>
      <c r="B11" t="s">
        <v>3900</v>
      </c>
    </row>
    <row r="12" spans="1:2" x14ac:dyDescent="0.25">
      <c r="A12" s="33" t="s">
        <v>2335</v>
      </c>
      <c r="B12" t="s">
        <v>3900</v>
      </c>
    </row>
    <row r="13" spans="1:2" x14ac:dyDescent="0.25">
      <c r="A13" s="33" t="s">
        <v>2273</v>
      </c>
      <c r="B13" t="s">
        <v>3900</v>
      </c>
    </row>
    <row r="14" spans="1:2" x14ac:dyDescent="0.25">
      <c r="A14" s="33" t="s">
        <v>2181</v>
      </c>
      <c r="B14" t="s">
        <v>3900</v>
      </c>
    </row>
    <row r="15" spans="1:2" x14ac:dyDescent="0.25">
      <c r="A15" s="33" t="s">
        <v>3170</v>
      </c>
      <c r="B15" t="s">
        <v>3900</v>
      </c>
    </row>
    <row r="16" spans="1:2" x14ac:dyDescent="0.25">
      <c r="A16" s="33" t="s">
        <v>1973</v>
      </c>
      <c r="B16" t="s">
        <v>3900</v>
      </c>
    </row>
    <row r="17" spans="1:14" x14ac:dyDescent="0.25">
      <c r="A17" s="33" t="s">
        <v>1640</v>
      </c>
      <c r="B17" t="s">
        <v>3900</v>
      </c>
    </row>
    <row r="18" spans="1:14" x14ac:dyDescent="0.25">
      <c r="A18" s="33" t="s">
        <v>875</v>
      </c>
      <c r="B18" t="s">
        <v>3900</v>
      </c>
    </row>
    <row r="19" spans="1:14" x14ac:dyDescent="0.25">
      <c r="A19" s="33" t="s">
        <v>1518</v>
      </c>
      <c r="B19" t="s">
        <v>3900</v>
      </c>
    </row>
    <row r="20" spans="1:14" x14ac:dyDescent="0.25">
      <c r="A20" s="33" t="s">
        <v>1153</v>
      </c>
      <c r="B20" t="s">
        <v>3900</v>
      </c>
    </row>
    <row r="21" spans="1:14" x14ac:dyDescent="0.25">
      <c r="A21" s="33" t="s">
        <v>1400</v>
      </c>
      <c r="B21" t="s">
        <v>3900</v>
      </c>
      <c r="N21" s="8"/>
    </row>
    <row r="22" spans="1:14" x14ac:dyDescent="0.25">
      <c r="A22" s="33" t="s">
        <v>1258</v>
      </c>
      <c r="B22" t="s">
        <v>3900</v>
      </c>
      <c r="N22" s="8"/>
    </row>
    <row r="23" spans="1:14" x14ac:dyDescent="0.25">
      <c r="A23" s="33" t="s">
        <v>969</v>
      </c>
      <c r="B23" t="s">
        <v>3900</v>
      </c>
      <c r="N23" s="8"/>
    </row>
    <row r="24" spans="1:14" x14ac:dyDescent="0.25">
      <c r="A24" s="33" t="s">
        <v>876</v>
      </c>
      <c r="B24" t="s">
        <v>3900</v>
      </c>
    </row>
    <row r="25" spans="1:14" x14ac:dyDescent="0.25">
      <c r="A25" s="33" t="s">
        <v>676</v>
      </c>
      <c r="B25" t="s">
        <v>3900</v>
      </c>
    </row>
    <row r="26" spans="1:14" x14ac:dyDescent="0.25">
      <c r="A26" s="33" t="s">
        <v>352</v>
      </c>
      <c r="B26" t="s">
        <v>3900</v>
      </c>
    </row>
    <row r="27" spans="1:14" x14ac:dyDescent="0.25">
      <c r="A27" s="33" t="s">
        <v>632</v>
      </c>
      <c r="B27" t="s">
        <v>3900</v>
      </c>
    </row>
    <row r="28" spans="1:14" x14ac:dyDescent="0.25">
      <c r="A28" s="33" t="s">
        <v>472</v>
      </c>
      <c r="B28" t="s">
        <v>3900</v>
      </c>
    </row>
    <row r="29" spans="1:14" x14ac:dyDescent="0.25">
      <c r="A29" s="33" t="s">
        <v>430</v>
      </c>
      <c r="B29" t="s">
        <v>3900</v>
      </c>
    </row>
    <row r="30" spans="1:14" x14ac:dyDescent="0.25">
      <c r="A30" s="33" t="s">
        <v>377</v>
      </c>
      <c r="B30" t="s">
        <v>3900</v>
      </c>
    </row>
    <row r="31" spans="1:14" x14ac:dyDescent="0.25">
      <c r="A31" s="33" t="s">
        <v>155</v>
      </c>
      <c r="B31" t="s">
        <v>3900</v>
      </c>
    </row>
    <row r="32" spans="1:14" x14ac:dyDescent="0.25">
      <c r="A32" s="33" t="s">
        <v>279</v>
      </c>
      <c r="B32" t="s">
        <v>3900</v>
      </c>
    </row>
    <row r="33" spans="1:8" x14ac:dyDescent="0.25">
      <c r="A33" s="33" t="s">
        <v>255</v>
      </c>
      <c r="B33" t="s">
        <v>3900</v>
      </c>
    </row>
    <row r="34" spans="1:8" x14ac:dyDescent="0.25">
      <c r="A34" s="33" t="s">
        <v>256</v>
      </c>
      <c r="B34" t="s">
        <v>3900</v>
      </c>
    </row>
    <row r="35" spans="1:8" x14ac:dyDescent="0.25">
      <c r="A35" s="33" t="s">
        <v>244</v>
      </c>
      <c r="B35" t="s">
        <v>3900</v>
      </c>
    </row>
    <row r="36" spans="1:8" x14ac:dyDescent="0.25">
      <c r="A36" s="33" t="s">
        <v>227</v>
      </c>
      <c r="B36" t="s">
        <v>3900</v>
      </c>
    </row>
    <row r="37" spans="1:8" x14ac:dyDescent="0.25">
      <c r="A37" s="33" t="s">
        <v>253</v>
      </c>
      <c r="B37" t="s">
        <v>3900</v>
      </c>
    </row>
    <row r="38" spans="1:8" x14ac:dyDescent="0.25">
      <c r="A38" s="33" t="s">
        <v>207</v>
      </c>
      <c r="B38" t="s">
        <v>3900</v>
      </c>
    </row>
    <row r="39" spans="1:8" x14ac:dyDescent="0.25">
      <c r="A39" s="33" t="s">
        <v>206</v>
      </c>
      <c r="B39" t="s">
        <v>3900</v>
      </c>
    </row>
    <row r="40" spans="1:8" x14ac:dyDescent="0.25">
      <c r="A40" s="33" t="s">
        <v>254</v>
      </c>
      <c r="B40" t="s">
        <v>3900</v>
      </c>
    </row>
    <row r="41" spans="1:8" x14ac:dyDescent="0.25">
      <c r="A41" s="33" t="s">
        <v>208</v>
      </c>
      <c r="B41" t="s">
        <v>3900</v>
      </c>
    </row>
    <row r="42" spans="1:8" x14ac:dyDescent="0.25">
      <c r="A42" s="33" t="s">
        <v>429</v>
      </c>
      <c r="B42" t="s">
        <v>3900</v>
      </c>
    </row>
    <row r="44" spans="1:8" x14ac:dyDescent="0.25">
      <c r="A44" s="33" t="s">
        <v>3902</v>
      </c>
      <c r="B44" s="33" t="s">
        <v>3865</v>
      </c>
    </row>
    <row r="45" spans="1:8" x14ac:dyDescent="0.25">
      <c r="A45" s="33" t="s">
        <v>3862</v>
      </c>
      <c r="B45" t="s">
        <v>763</v>
      </c>
      <c r="C45" t="s">
        <v>1486</v>
      </c>
      <c r="D45" t="s">
        <v>201</v>
      </c>
      <c r="E45" t="s">
        <v>388</v>
      </c>
      <c r="F45" t="s">
        <v>268</v>
      </c>
      <c r="G45" t="s">
        <v>3864</v>
      </c>
    </row>
    <row r="46" spans="1:8" x14ac:dyDescent="0.25">
      <c r="A46" s="34" t="s">
        <v>197</v>
      </c>
      <c r="B46" s="12"/>
      <c r="C46" s="12"/>
      <c r="D46" s="12">
        <v>12</v>
      </c>
      <c r="E46" s="12"/>
      <c r="F46" s="12">
        <v>1</v>
      </c>
      <c r="G46" s="12">
        <v>13</v>
      </c>
      <c r="H46" s="34" t="s">
        <v>197</v>
      </c>
    </row>
    <row r="47" spans="1:8" x14ac:dyDescent="0.25">
      <c r="A47" s="34" t="s">
        <v>251</v>
      </c>
      <c r="B47" s="12"/>
      <c r="C47" s="12"/>
      <c r="D47" s="12">
        <v>1</v>
      </c>
      <c r="E47" s="12"/>
      <c r="F47" s="12">
        <v>2</v>
      </c>
      <c r="G47" s="12">
        <v>3</v>
      </c>
      <c r="H47" s="34" t="s">
        <v>251</v>
      </c>
    </row>
    <row r="48" spans="1:8" x14ac:dyDescent="0.25">
      <c r="A48" s="34" t="s">
        <v>776</v>
      </c>
      <c r="B48" s="12"/>
      <c r="C48" s="12"/>
      <c r="D48" s="12">
        <v>1</v>
      </c>
      <c r="E48" s="12"/>
      <c r="F48" s="12"/>
      <c r="G48" s="12">
        <v>1</v>
      </c>
      <c r="H48" s="34" t="s">
        <v>776</v>
      </c>
    </row>
    <row r="49" spans="1:8" x14ac:dyDescent="0.25">
      <c r="A49" s="34" t="s">
        <v>1520</v>
      </c>
      <c r="B49" s="12"/>
      <c r="C49" s="12">
        <v>1</v>
      </c>
      <c r="D49" s="12"/>
      <c r="E49" s="12"/>
      <c r="F49" s="12"/>
      <c r="G49" s="12">
        <v>1</v>
      </c>
      <c r="H49" s="34" t="s">
        <v>1520</v>
      </c>
    </row>
    <row r="50" spans="1:8" x14ac:dyDescent="0.25">
      <c r="A50" s="34" t="s">
        <v>549</v>
      </c>
      <c r="B50" s="12"/>
      <c r="C50" s="12"/>
      <c r="D50" s="12">
        <v>4</v>
      </c>
      <c r="E50" s="12"/>
      <c r="F50" s="12"/>
      <c r="G50" s="12">
        <v>4</v>
      </c>
      <c r="H50" s="34" t="s">
        <v>549</v>
      </c>
    </row>
    <row r="51" spans="1:8" x14ac:dyDescent="0.25">
      <c r="A51" s="34" t="s">
        <v>191</v>
      </c>
      <c r="B51" s="12"/>
      <c r="C51" s="12"/>
      <c r="D51" s="12">
        <v>3</v>
      </c>
      <c r="E51" s="12"/>
      <c r="F51" s="12"/>
      <c r="G51" s="12">
        <v>3</v>
      </c>
      <c r="H51" s="34" t="s">
        <v>191</v>
      </c>
    </row>
    <row r="52" spans="1:8" x14ac:dyDescent="0.25">
      <c r="A52" s="34" t="s">
        <v>446</v>
      </c>
      <c r="B52" s="12"/>
      <c r="C52" s="12"/>
      <c r="D52" s="12">
        <v>1</v>
      </c>
      <c r="E52" s="12"/>
      <c r="F52" s="12"/>
      <c r="G52" s="12">
        <v>1</v>
      </c>
      <c r="H52" s="34" t="s">
        <v>446</v>
      </c>
    </row>
    <row r="53" spans="1:8" x14ac:dyDescent="0.25">
      <c r="A53" s="34" t="s">
        <v>111</v>
      </c>
      <c r="B53" s="12"/>
      <c r="C53" s="12"/>
      <c r="D53" s="12">
        <v>1</v>
      </c>
      <c r="E53" s="12"/>
      <c r="F53" s="12"/>
      <c r="G53" s="12">
        <v>1</v>
      </c>
      <c r="H53" s="34" t="s">
        <v>111</v>
      </c>
    </row>
    <row r="54" spans="1:8" x14ac:dyDescent="0.25">
      <c r="A54" s="34" t="s">
        <v>378</v>
      </c>
      <c r="B54" s="12"/>
      <c r="C54" s="12"/>
      <c r="D54" s="12">
        <v>1</v>
      </c>
      <c r="E54" s="12">
        <v>1</v>
      </c>
      <c r="F54" s="12"/>
      <c r="G54" s="12">
        <v>2</v>
      </c>
      <c r="H54" s="34" t="s">
        <v>378</v>
      </c>
    </row>
    <row r="55" spans="1:8" x14ac:dyDescent="0.25">
      <c r="A55" s="34" t="s">
        <v>2018</v>
      </c>
      <c r="B55" s="12"/>
      <c r="C55" s="12"/>
      <c r="D55" s="12">
        <v>1</v>
      </c>
      <c r="E55" s="12"/>
      <c r="F55" s="12"/>
      <c r="G55" s="12">
        <v>1</v>
      </c>
      <c r="H55" s="34" t="s">
        <v>2018</v>
      </c>
    </row>
    <row r="56" spans="1:8" x14ac:dyDescent="0.25">
      <c r="A56" s="34" t="s">
        <v>671</v>
      </c>
      <c r="B56" s="12"/>
      <c r="C56" s="12"/>
      <c r="D56" s="12">
        <v>5</v>
      </c>
      <c r="E56" s="12"/>
      <c r="F56" s="12"/>
      <c r="G56" s="12">
        <v>5</v>
      </c>
      <c r="H56" s="34" t="s">
        <v>671</v>
      </c>
    </row>
    <row r="57" spans="1:8" x14ac:dyDescent="0.25">
      <c r="A57" s="34" t="s">
        <v>1318</v>
      </c>
      <c r="B57" s="12"/>
      <c r="C57" s="12"/>
      <c r="D57" s="12">
        <v>7</v>
      </c>
      <c r="E57" s="12"/>
      <c r="F57" s="12"/>
      <c r="G57" s="12">
        <v>7</v>
      </c>
      <c r="H57" s="34" t="s">
        <v>1318</v>
      </c>
    </row>
    <row r="58" spans="1:8" x14ac:dyDescent="0.25">
      <c r="A58" s="34" t="s">
        <v>68</v>
      </c>
      <c r="B58" s="12">
        <v>1</v>
      </c>
      <c r="C58" s="12"/>
      <c r="D58" s="12">
        <v>11</v>
      </c>
      <c r="E58" s="12"/>
      <c r="F58" s="12">
        <v>1</v>
      </c>
      <c r="G58" s="12">
        <v>13</v>
      </c>
      <c r="H58" s="34" t="s">
        <v>68</v>
      </c>
    </row>
    <row r="59" spans="1:8" x14ac:dyDescent="0.25">
      <c r="A59" s="34" t="s">
        <v>603</v>
      </c>
      <c r="B59" s="12"/>
      <c r="C59" s="12"/>
      <c r="D59" s="12">
        <v>2</v>
      </c>
      <c r="E59" s="12"/>
      <c r="F59" s="12"/>
      <c r="G59" s="12">
        <v>2</v>
      </c>
      <c r="H59" s="34" t="s">
        <v>603</v>
      </c>
    </row>
    <row r="60" spans="1:8" x14ac:dyDescent="0.25">
      <c r="A60" s="34" t="s">
        <v>58</v>
      </c>
      <c r="B60" s="12"/>
      <c r="C60" s="12"/>
      <c r="D60" s="12">
        <v>2</v>
      </c>
      <c r="E60" s="12"/>
      <c r="F60" s="12"/>
      <c r="G60" s="12">
        <v>2</v>
      </c>
      <c r="H60" s="34" t="s">
        <v>58</v>
      </c>
    </row>
    <row r="61" spans="1:8" x14ac:dyDescent="0.25">
      <c r="A61" s="34" t="s">
        <v>341</v>
      </c>
      <c r="B61" s="12"/>
      <c r="C61" s="12"/>
      <c r="D61" s="12">
        <v>1</v>
      </c>
      <c r="E61" s="12"/>
      <c r="F61" s="12">
        <v>1</v>
      </c>
      <c r="G61" s="12">
        <v>2</v>
      </c>
      <c r="H61" s="34" t="s">
        <v>341</v>
      </c>
    </row>
    <row r="62" spans="1:8" x14ac:dyDescent="0.25">
      <c r="A62" s="34" t="s">
        <v>3864</v>
      </c>
      <c r="B62" s="12">
        <v>1</v>
      </c>
      <c r="C62" s="12">
        <v>1</v>
      </c>
      <c r="D62" s="12">
        <v>53</v>
      </c>
      <c r="E62" s="12">
        <v>1</v>
      </c>
      <c r="F62" s="12">
        <v>5</v>
      </c>
      <c r="G62" s="12">
        <v>61</v>
      </c>
    </row>
    <row r="70" spans="14:14" x14ac:dyDescent="0.25">
      <c r="N70" s="8"/>
    </row>
    <row r="71" spans="14:14" x14ac:dyDescent="0.25">
      <c r="N71" s="8"/>
    </row>
    <row r="72" spans="14:14" x14ac:dyDescent="0.25">
      <c r="N72"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AE291-AC2D-4082-A46A-5741D20250A9}">
  <dimension ref="A1:L130"/>
  <sheetViews>
    <sheetView zoomScaleNormal="100" workbookViewId="0">
      <selection activeCell="G1" sqref="G1:G44"/>
    </sheetView>
  </sheetViews>
  <sheetFormatPr baseColWidth="10" defaultRowHeight="15" x14ac:dyDescent="0.25"/>
  <cols>
    <col min="1" max="1" width="24.28515625" bestFit="1" customWidth="1"/>
    <col min="2" max="2" width="18.42578125" bestFit="1" customWidth="1"/>
    <col min="3" max="3" width="7.42578125" bestFit="1" customWidth="1"/>
    <col min="4" max="4" width="6.85546875" bestFit="1" customWidth="1"/>
    <col min="5" max="5" width="7.5703125" bestFit="1" customWidth="1"/>
    <col min="6" max="6" width="11.28515625" bestFit="1" customWidth="1"/>
    <col min="7" max="7" width="9.85546875" bestFit="1" customWidth="1"/>
    <col min="8" max="8" width="18.42578125" bestFit="1" customWidth="1"/>
    <col min="9" max="9" width="12.28515625" bestFit="1" customWidth="1"/>
    <col min="10" max="10" width="10.85546875" bestFit="1" customWidth="1"/>
    <col min="11" max="11" width="7.42578125" bestFit="1" customWidth="1"/>
    <col min="12" max="12" width="11" bestFit="1" customWidth="1"/>
    <col min="13" max="13" width="8.5703125" bestFit="1" customWidth="1"/>
    <col min="14" max="14" width="9.140625" bestFit="1" customWidth="1"/>
    <col min="15" max="15" width="11.28515625" bestFit="1" customWidth="1"/>
    <col min="16" max="16" width="19.7109375" bestFit="1" customWidth="1"/>
    <col min="17" max="17" width="15.140625" bestFit="1" customWidth="1"/>
    <col min="18" max="18" width="24.28515625" bestFit="1" customWidth="1"/>
    <col min="19" max="19" width="10" bestFit="1" customWidth="1"/>
    <col min="20" max="20" width="13.28515625" bestFit="1" customWidth="1"/>
    <col min="21" max="21" width="23.85546875" bestFit="1" customWidth="1"/>
    <col min="22" max="22" width="8.7109375" bestFit="1" customWidth="1"/>
    <col min="23" max="23" width="9.85546875" bestFit="1" customWidth="1"/>
    <col min="24" max="24" width="11.5703125" bestFit="1" customWidth="1"/>
    <col min="25" max="25" width="13.28515625" bestFit="1" customWidth="1"/>
    <col min="26" max="26" width="12" bestFit="1" customWidth="1"/>
    <col min="27" max="27" width="6.5703125" bestFit="1" customWidth="1"/>
    <col min="28" max="28" width="9.28515625" bestFit="1" customWidth="1"/>
    <col min="29" max="29" width="7.28515625" bestFit="1" customWidth="1"/>
    <col min="30" max="30" width="6.140625" bestFit="1" customWidth="1"/>
    <col min="31" max="31" width="17.140625" bestFit="1" customWidth="1"/>
    <col min="32" max="32" width="6.42578125" bestFit="1" customWidth="1"/>
    <col min="33" max="33" width="9" bestFit="1" customWidth="1"/>
    <col min="34" max="34" width="8.7109375" bestFit="1" customWidth="1"/>
    <col min="35" max="35" width="9.42578125" bestFit="1" customWidth="1"/>
    <col min="36" max="36" width="9" bestFit="1" customWidth="1"/>
    <col min="37" max="37" width="10.140625" bestFit="1" customWidth="1"/>
    <col min="38" max="38" width="8.140625" bestFit="1" customWidth="1"/>
    <col min="39" max="39" width="8.5703125" bestFit="1" customWidth="1"/>
    <col min="40" max="40" width="9" bestFit="1" customWidth="1"/>
    <col min="41" max="41" width="18.7109375" bestFit="1" customWidth="1"/>
    <col min="42" max="42" width="17.42578125" bestFit="1" customWidth="1"/>
    <col min="43" max="43" width="8.5703125" bestFit="1" customWidth="1"/>
    <col min="44" max="44" width="9" bestFit="1" customWidth="1"/>
    <col min="45" max="45" width="11.140625" bestFit="1" customWidth="1"/>
    <col min="46" max="46" width="7.28515625" bestFit="1" customWidth="1"/>
    <col min="47" max="47" width="12.42578125" bestFit="1" customWidth="1"/>
    <col min="48" max="48" width="7.140625" bestFit="1" customWidth="1"/>
    <col min="49" max="49" width="10.140625" bestFit="1" customWidth="1"/>
    <col min="50" max="50" width="9.7109375" bestFit="1" customWidth="1"/>
    <col min="51" max="51" width="10.28515625" bestFit="1" customWidth="1"/>
    <col min="52" max="52" width="11.5703125" bestFit="1" customWidth="1"/>
    <col min="53" max="53" width="9.85546875" bestFit="1" customWidth="1"/>
    <col min="54" max="54" width="10.5703125" bestFit="1" customWidth="1"/>
    <col min="55" max="55" width="8.7109375" bestFit="1" customWidth="1"/>
    <col min="56" max="56" width="10.7109375" bestFit="1" customWidth="1"/>
    <col min="57" max="57" width="7.42578125" bestFit="1" customWidth="1"/>
    <col min="58" max="58" width="7.85546875" bestFit="1" customWidth="1"/>
    <col min="59" max="59" width="13.7109375" bestFit="1" customWidth="1"/>
    <col min="60" max="60" width="7.85546875" bestFit="1" customWidth="1"/>
    <col min="61" max="61" width="10.5703125" bestFit="1" customWidth="1"/>
    <col min="62" max="62" width="6.28515625" bestFit="1" customWidth="1"/>
    <col min="63" max="63" width="6" bestFit="1" customWidth="1"/>
    <col min="64" max="64" width="8.85546875" bestFit="1" customWidth="1"/>
    <col min="65" max="65" width="6.7109375" bestFit="1" customWidth="1"/>
    <col min="66" max="66" width="17" bestFit="1" customWidth="1"/>
    <col min="67" max="67" width="22.85546875" bestFit="1" customWidth="1"/>
    <col min="68" max="68" width="6.28515625" bestFit="1" customWidth="1"/>
    <col min="69" max="69" width="8.5703125" bestFit="1" customWidth="1"/>
    <col min="70" max="70" width="7" bestFit="1" customWidth="1"/>
    <col min="71" max="71" width="6.85546875" bestFit="1" customWidth="1"/>
    <col min="72" max="72" width="11.140625" bestFit="1" customWidth="1"/>
    <col min="73" max="73" width="19.28515625" bestFit="1" customWidth="1"/>
    <col min="74" max="74" width="9.42578125" bestFit="1" customWidth="1"/>
    <col min="75" max="75" width="8.85546875" bestFit="1" customWidth="1"/>
    <col min="76" max="76" width="6.7109375" bestFit="1" customWidth="1"/>
    <col min="77" max="77" width="6.28515625" bestFit="1" customWidth="1"/>
    <col min="78" max="78" width="12.5703125" bestFit="1" customWidth="1"/>
  </cols>
  <sheetData>
    <row r="1" spans="1:2" x14ac:dyDescent="0.25">
      <c r="A1" s="33" t="s">
        <v>3862</v>
      </c>
      <c r="B1" t="s">
        <v>3909</v>
      </c>
    </row>
    <row r="2" spans="1:2" x14ac:dyDescent="0.25">
      <c r="A2" s="34" t="s">
        <v>1694</v>
      </c>
      <c r="B2" s="12">
        <v>1</v>
      </c>
    </row>
    <row r="3" spans="1:2" x14ac:dyDescent="0.25">
      <c r="A3" s="34" t="s">
        <v>170</v>
      </c>
      <c r="B3" s="12">
        <v>5</v>
      </c>
    </row>
    <row r="4" spans="1:2" x14ac:dyDescent="0.25">
      <c r="A4" s="34" t="s">
        <v>3956</v>
      </c>
      <c r="B4" s="12">
        <v>1</v>
      </c>
    </row>
    <row r="5" spans="1:2" x14ac:dyDescent="0.25">
      <c r="A5" s="34" t="s">
        <v>1565</v>
      </c>
      <c r="B5" s="12">
        <v>1</v>
      </c>
    </row>
    <row r="6" spans="1:2" x14ac:dyDescent="0.25">
      <c r="A6" s="34" t="s">
        <v>3905</v>
      </c>
      <c r="B6" s="12">
        <v>2</v>
      </c>
    </row>
    <row r="7" spans="1:2" x14ac:dyDescent="0.25">
      <c r="A7" s="34" t="s">
        <v>197</v>
      </c>
      <c r="B7" s="12">
        <v>15</v>
      </c>
    </row>
    <row r="8" spans="1:2" x14ac:dyDescent="0.25">
      <c r="A8" s="34" t="s">
        <v>251</v>
      </c>
      <c r="B8" s="12">
        <v>5</v>
      </c>
    </row>
    <row r="9" spans="1:2" x14ac:dyDescent="0.25">
      <c r="A9" s="34" t="s">
        <v>3267</v>
      </c>
      <c r="B9" s="12">
        <v>2</v>
      </c>
    </row>
    <row r="10" spans="1:2" x14ac:dyDescent="0.25">
      <c r="A10" s="34" t="s">
        <v>1462</v>
      </c>
      <c r="B10" s="12">
        <v>1</v>
      </c>
    </row>
    <row r="11" spans="1:2" x14ac:dyDescent="0.25">
      <c r="A11" s="34" t="s">
        <v>776</v>
      </c>
      <c r="B11" s="12">
        <v>20</v>
      </c>
    </row>
    <row r="12" spans="1:2" x14ac:dyDescent="0.25">
      <c r="A12" s="34" t="s">
        <v>1520</v>
      </c>
      <c r="B12" s="12">
        <v>3</v>
      </c>
    </row>
    <row r="13" spans="1:2" x14ac:dyDescent="0.25">
      <c r="A13" s="34" t="s">
        <v>1582</v>
      </c>
      <c r="B13" s="12">
        <v>2</v>
      </c>
    </row>
    <row r="14" spans="1:2" x14ac:dyDescent="0.25">
      <c r="A14" s="34" t="s">
        <v>1762</v>
      </c>
      <c r="B14" s="12">
        <v>2</v>
      </c>
    </row>
    <row r="15" spans="1:2" x14ac:dyDescent="0.25">
      <c r="A15" s="34" t="s">
        <v>1776</v>
      </c>
      <c r="B15" s="12">
        <v>1</v>
      </c>
    </row>
    <row r="16" spans="1:2" x14ac:dyDescent="0.25">
      <c r="A16" s="34" t="s">
        <v>3899</v>
      </c>
      <c r="B16" s="12">
        <v>1</v>
      </c>
    </row>
    <row r="17" spans="1:12" x14ac:dyDescent="0.25">
      <c r="A17" s="34" t="s">
        <v>2291</v>
      </c>
      <c r="B17" s="12">
        <v>1</v>
      </c>
    </row>
    <row r="18" spans="1:12" x14ac:dyDescent="0.25">
      <c r="A18" s="34" t="s">
        <v>1467</v>
      </c>
      <c r="B18" s="12">
        <v>1</v>
      </c>
    </row>
    <row r="19" spans="1:12" x14ac:dyDescent="0.25">
      <c r="A19" s="34" t="s">
        <v>1755</v>
      </c>
      <c r="B19" s="12">
        <v>3</v>
      </c>
    </row>
    <row r="20" spans="1:12" x14ac:dyDescent="0.25">
      <c r="A20" s="34" t="s">
        <v>2562</v>
      </c>
      <c r="B20" s="12">
        <v>1</v>
      </c>
    </row>
    <row r="21" spans="1:12" x14ac:dyDescent="0.25">
      <c r="A21" s="34" t="s">
        <v>549</v>
      </c>
      <c r="B21" s="12">
        <v>6</v>
      </c>
      <c r="D21" t="s">
        <v>3943</v>
      </c>
      <c r="E21" t="s">
        <v>3944</v>
      </c>
      <c r="F21" s="34" t="s">
        <v>1603</v>
      </c>
      <c r="G21" t="s">
        <v>3301</v>
      </c>
      <c r="J21" t="s">
        <v>340</v>
      </c>
      <c r="L21" t="s">
        <v>1694</v>
      </c>
    </row>
    <row r="22" spans="1:12" x14ac:dyDescent="0.25">
      <c r="A22" s="34" t="s">
        <v>191</v>
      </c>
      <c r="B22" s="12">
        <v>3</v>
      </c>
      <c r="L22" t="s">
        <v>1565</v>
      </c>
    </row>
    <row r="23" spans="1:12" x14ac:dyDescent="0.25">
      <c r="A23" s="34" t="s">
        <v>1626</v>
      </c>
      <c r="B23" s="12">
        <v>2</v>
      </c>
      <c r="F23" s="34"/>
      <c r="L23" t="s">
        <v>1776</v>
      </c>
    </row>
    <row r="24" spans="1:12" x14ac:dyDescent="0.25">
      <c r="A24" s="34" t="s">
        <v>2504</v>
      </c>
      <c r="B24" s="12">
        <v>1</v>
      </c>
      <c r="L24" s="34" t="s">
        <v>2291</v>
      </c>
    </row>
    <row r="25" spans="1:12" x14ac:dyDescent="0.25">
      <c r="A25" s="34" t="s">
        <v>446</v>
      </c>
      <c r="B25" s="12">
        <v>1</v>
      </c>
      <c r="L25" t="s">
        <v>3524</v>
      </c>
    </row>
    <row r="26" spans="1:12" x14ac:dyDescent="0.25">
      <c r="A26" s="34" t="s">
        <v>115</v>
      </c>
      <c r="B26" s="12">
        <v>1</v>
      </c>
      <c r="F26" s="34"/>
      <c r="L26" s="34" t="s">
        <v>3921</v>
      </c>
    </row>
    <row r="27" spans="1:12" x14ac:dyDescent="0.25">
      <c r="A27" s="34" t="s">
        <v>2573</v>
      </c>
      <c r="B27" s="12">
        <v>1</v>
      </c>
      <c r="F27" s="34"/>
      <c r="L27" s="34" t="s">
        <v>2504</v>
      </c>
    </row>
    <row r="28" spans="1:12" x14ac:dyDescent="0.25">
      <c r="A28" s="34" t="s">
        <v>111</v>
      </c>
      <c r="B28" s="12">
        <v>1</v>
      </c>
      <c r="F28" s="34"/>
      <c r="H28" s="36"/>
      <c r="L28" s="34" t="s">
        <v>2183</v>
      </c>
    </row>
    <row r="29" spans="1:12" x14ac:dyDescent="0.25">
      <c r="A29" s="34" t="s">
        <v>2183</v>
      </c>
      <c r="B29" s="12">
        <v>2</v>
      </c>
      <c r="L29" s="34" t="s">
        <v>1633</v>
      </c>
    </row>
    <row r="30" spans="1:12" x14ac:dyDescent="0.25">
      <c r="A30" s="34" t="s">
        <v>1915</v>
      </c>
      <c r="B30" s="12">
        <v>1</v>
      </c>
      <c r="L30" s="34" t="s">
        <v>3053</v>
      </c>
    </row>
    <row r="31" spans="1:12" x14ac:dyDescent="0.25">
      <c r="A31" s="34" t="s">
        <v>3908</v>
      </c>
      <c r="B31" s="12">
        <v>1</v>
      </c>
      <c r="H31" s="36"/>
      <c r="L31" s="34" t="s">
        <v>3218</v>
      </c>
    </row>
    <row r="32" spans="1:12" x14ac:dyDescent="0.25">
      <c r="A32" s="34" t="s">
        <v>3053</v>
      </c>
      <c r="B32" s="12">
        <v>1</v>
      </c>
      <c r="L32" s="34" t="s">
        <v>85</v>
      </c>
    </row>
    <row r="33" spans="1:12" x14ac:dyDescent="0.25">
      <c r="A33" s="34" t="s">
        <v>1406</v>
      </c>
      <c r="B33" s="12">
        <v>12</v>
      </c>
      <c r="L33" s="34" t="s">
        <v>3482</v>
      </c>
    </row>
    <row r="34" spans="1:12" x14ac:dyDescent="0.25">
      <c r="A34" s="34" t="s">
        <v>2830</v>
      </c>
      <c r="B34" s="12">
        <v>5</v>
      </c>
      <c r="L34" s="34" t="s">
        <v>77</v>
      </c>
    </row>
    <row r="35" spans="1:12" x14ac:dyDescent="0.25">
      <c r="A35" s="34" t="s">
        <v>378</v>
      </c>
      <c r="B35" s="12">
        <v>2</v>
      </c>
      <c r="L35" s="34" t="s">
        <v>1573</v>
      </c>
    </row>
    <row r="36" spans="1:12" x14ac:dyDescent="0.25">
      <c r="A36" s="34" t="s">
        <v>396</v>
      </c>
      <c r="B36" s="12">
        <v>3</v>
      </c>
      <c r="L36" s="34" t="s">
        <v>3313</v>
      </c>
    </row>
    <row r="37" spans="1:12" x14ac:dyDescent="0.25">
      <c r="A37" s="34" t="s">
        <v>2303</v>
      </c>
      <c r="B37" s="12">
        <v>1</v>
      </c>
      <c r="L37" s="34" t="s">
        <v>1723</v>
      </c>
    </row>
    <row r="38" spans="1:12" x14ac:dyDescent="0.25">
      <c r="A38" s="34" t="s">
        <v>3081</v>
      </c>
      <c r="B38" s="12">
        <v>1</v>
      </c>
      <c r="L38" s="34" t="s">
        <v>1914</v>
      </c>
    </row>
    <row r="39" spans="1:12" x14ac:dyDescent="0.25">
      <c r="A39" s="34" t="s">
        <v>2660</v>
      </c>
      <c r="B39" s="12">
        <v>1</v>
      </c>
      <c r="L39" s="34" t="s">
        <v>2081</v>
      </c>
    </row>
    <row r="40" spans="1:12" x14ac:dyDescent="0.25">
      <c r="A40" s="34" t="s">
        <v>3218</v>
      </c>
      <c r="B40" s="12">
        <v>1</v>
      </c>
      <c r="L40" s="34" t="s">
        <v>2819</v>
      </c>
    </row>
    <row r="41" spans="1:12" x14ac:dyDescent="0.25">
      <c r="A41" s="34" t="s">
        <v>2661</v>
      </c>
      <c r="B41" s="12">
        <v>3</v>
      </c>
      <c r="L41" t="s">
        <v>1762</v>
      </c>
    </row>
    <row r="42" spans="1:12" x14ac:dyDescent="0.25">
      <c r="A42" s="34" t="s">
        <v>2018</v>
      </c>
      <c r="B42" s="12">
        <v>5</v>
      </c>
      <c r="L42" s="34" t="s">
        <v>1626</v>
      </c>
    </row>
    <row r="43" spans="1:12" x14ac:dyDescent="0.25">
      <c r="A43" s="34" t="s">
        <v>2582</v>
      </c>
      <c r="B43" s="12">
        <v>1</v>
      </c>
    </row>
    <row r="44" spans="1:12" x14ac:dyDescent="0.25">
      <c r="A44" s="34" t="s">
        <v>671</v>
      </c>
      <c r="B44" s="12">
        <v>5</v>
      </c>
    </row>
    <row r="45" spans="1:12" x14ac:dyDescent="0.25">
      <c r="A45" s="34" t="s">
        <v>2940</v>
      </c>
      <c r="B45" s="12">
        <v>5</v>
      </c>
    </row>
    <row r="46" spans="1:12" x14ac:dyDescent="0.25">
      <c r="A46" s="34" t="s">
        <v>85</v>
      </c>
      <c r="B46" s="12">
        <v>1</v>
      </c>
    </row>
    <row r="47" spans="1:12" x14ac:dyDescent="0.25">
      <c r="A47" s="34" t="s">
        <v>3482</v>
      </c>
      <c r="B47" s="12">
        <v>1</v>
      </c>
    </row>
    <row r="48" spans="1:12" x14ac:dyDescent="0.25">
      <c r="A48" s="34" t="s">
        <v>1318</v>
      </c>
      <c r="B48" s="12">
        <v>7</v>
      </c>
    </row>
    <row r="49" spans="1:6" x14ac:dyDescent="0.25">
      <c r="A49" s="34" t="s">
        <v>77</v>
      </c>
      <c r="B49" s="12">
        <v>3</v>
      </c>
    </row>
    <row r="50" spans="1:6" x14ac:dyDescent="0.25">
      <c r="A50" s="34" t="s">
        <v>2782</v>
      </c>
      <c r="B50" s="12">
        <v>1</v>
      </c>
    </row>
    <row r="51" spans="1:6" x14ac:dyDescent="0.25">
      <c r="A51" s="34" t="s">
        <v>68</v>
      </c>
      <c r="B51" s="12">
        <v>19</v>
      </c>
    </row>
    <row r="52" spans="1:6" x14ac:dyDescent="0.25">
      <c r="A52" s="34" t="s">
        <v>603</v>
      </c>
      <c r="B52" s="12">
        <v>2</v>
      </c>
    </row>
    <row r="53" spans="1:6" x14ac:dyDescent="0.25">
      <c r="A53" s="34" t="s">
        <v>3406</v>
      </c>
      <c r="B53" s="12">
        <v>3</v>
      </c>
    </row>
    <row r="54" spans="1:6" x14ac:dyDescent="0.25">
      <c r="A54" s="34" t="s">
        <v>1573</v>
      </c>
      <c r="B54" s="12">
        <v>1</v>
      </c>
    </row>
    <row r="55" spans="1:6" x14ac:dyDescent="0.25">
      <c r="A55" s="34" t="s">
        <v>3313</v>
      </c>
      <c r="B55" s="12">
        <v>1</v>
      </c>
      <c r="F55" s="34"/>
    </row>
    <row r="56" spans="1:6" x14ac:dyDescent="0.25">
      <c r="A56" s="34" t="s">
        <v>984</v>
      </c>
      <c r="B56" s="12">
        <v>1</v>
      </c>
    </row>
    <row r="57" spans="1:6" x14ac:dyDescent="0.25">
      <c r="A57" s="34" t="s">
        <v>58</v>
      </c>
      <c r="B57" s="12">
        <v>2</v>
      </c>
    </row>
    <row r="58" spans="1:6" x14ac:dyDescent="0.25">
      <c r="A58" s="34" t="s">
        <v>3903</v>
      </c>
      <c r="B58" s="12">
        <v>2</v>
      </c>
    </row>
    <row r="59" spans="1:6" x14ac:dyDescent="0.25">
      <c r="A59" s="34" t="s">
        <v>341</v>
      </c>
      <c r="B59" s="12">
        <v>2</v>
      </c>
      <c r="F59" s="34"/>
    </row>
    <row r="60" spans="1:6" x14ac:dyDescent="0.25">
      <c r="A60" s="34" t="s">
        <v>3906</v>
      </c>
      <c r="B60" s="12">
        <v>1</v>
      </c>
    </row>
    <row r="61" spans="1:6" x14ac:dyDescent="0.25">
      <c r="A61" s="34" t="s">
        <v>2070</v>
      </c>
      <c r="B61" s="12">
        <v>6</v>
      </c>
    </row>
    <row r="62" spans="1:6" x14ac:dyDescent="0.25">
      <c r="A62" s="34" t="s">
        <v>33</v>
      </c>
      <c r="B62" s="12">
        <v>1</v>
      </c>
    </row>
    <row r="63" spans="1:6" x14ac:dyDescent="0.25">
      <c r="A63" s="34" t="s">
        <v>1723</v>
      </c>
      <c r="B63" s="12">
        <v>1</v>
      </c>
    </row>
    <row r="64" spans="1:6" x14ac:dyDescent="0.25">
      <c r="A64" s="34" t="s">
        <v>1810</v>
      </c>
      <c r="B64" s="12">
        <v>13</v>
      </c>
    </row>
    <row r="65" spans="1:2" x14ac:dyDescent="0.25">
      <c r="A65" s="34" t="s">
        <v>1914</v>
      </c>
      <c r="B65" s="12">
        <v>7</v>
      </c>
    </row>
    <row r="66" spans="1:2" x14ac:dyDescent="0.25">
      <c r="A66" s="34" t="s">
        <v>3921</v>
      </c>
      <c r="B66" s="12">
        <v>1</v>
      </c>
    </row>
    <row r="67" spans="1:2" x14ac:dyDescent="0.25">
      <c r="A67" s="34" t="s">
        <v>2081</v>
      </c>
      <c r="B67" s="12">
        <v>1</v>
      </c>
    </row>
    <row r="68" spans="1:2" x14ac:dyDescent="0.25">
      <c r="A68" s="34" t="s">
        <v>2819</v>
      </c>
      <c r="B68" s="12">
        <v>1</v>
      </c>
    </row>
    <row r="69" spans="1:2" x14ac:dyDescent="0.25">
      <c r="A69" s="34" t="s">
        <v>2257</v>
      </c>
      <c r="B69" s="12">
        <v>1</v>
      </c>
    </row>
    <row r="70" spans="1:2" x14ac:dyDescent="0.25">
      <c r="A70" s="34" t="s">
        <v>1791</v>
      </c>
      <c r="B70" s="12">
        <v>2</v>
      </c>
    </row>
    <row r="71" spans="1:2" x14ac:dyDescent="0.25">
      <c r="A71" s="34" t="s">
        <v>2543</v>
      </c>
      <c r="B71" s="12">
        <v>2</v>
      </c>
    </row>
    <row r="72" spans="1:2" x14ac:dyDescent="0.25">
      <c r="A72" s="34" t="s">
        <v>2653</v>
      </c>
      <c r="B72" s="12">
        <v>6</v>
      </c>
    </row>
    <row r="73" spans="1:2" x14ac:dyDescent="0.25">
      <c r="A73" s="34" t="s">
        <v>2522</v>
      </c>
      <c r="B73" s="12">
        <v>3</v>
      </c>
    </row>
    <row r="74" spans="1:2" x14ac:dyDescent="0.25">
      <c r="A74" s="34" t="s">
        <v>2278</v>
      </c>
      <c r="B74" s="12">
        <v>2</v>
      </c>
    </row>
    <row r="75" spans="1:2" x14ac:dyDescent="0.25">
      <c r="A75" s="34" t="s">
        <v>2729</v>
      </c>
      <c r="B75" s="12">
        <v>1</v>
      </c>
    </row>
    <row r="76" spans="1:2" x14ac:dyDescent="0.25">
      <c r="A76" s="34" t="s">
        <v>3863</v>
      </c>
      <c r="B76" s="12"/>
    </row>
    <row r="77" spans="1:2" x14ac:dyDescent="0.25">
      <c r="A77" s="34" t="s">
        <v>3864</v>
      </c>
      <c r="B77" s="12">
        <v>229</v>
      </c>
    </row>
    <row r="106" spans="8:8" x14ac:dyDescent="0.25">
      <c r="H106" s="5"/>
    </row>
    <row r="107" spans="8:8" x14ac:dyDescent="0.25">
      <c r="H107" s="5"/>
    </row>
    <row r="108" spans="8:8" x14ac:dyDescent="0.25">
      <c r="H108" s="5"/>
    </row>
    <row r="109" spans="8:8" x14ac:dyDescent="0.25">
      <c r="H109" s="5"/>
    </row>
    <row r="110" spans="8:8" x14ac:dyDescent="0.25">
      <c r="H110" s="5"/>
    </row>
    <row r="111" spans="8:8" x14ac:dyDescent="0.25">
      <c r="H111" s="5"/>
    </row>
    <row r="112" spans="8:8" x14ac:dyDescent="0.25">
      <c r="H112" s="5"/>
    </row>
    <row r="113" spans="8:8" x14ac:dyDescent="0.25">
      <c r="H113" s="5"/>
    </row>
    <row r="114" spans="8:8" x14ac:dyDescent="0.25">
      <c r="H114" s="5"/>
    </row>
    <row r="115" spans="8:8" x14ac:dyDescent="0.25">
      <c r="H115" s="5"/>
    </row>
    <row r="116" spans="8:8" x14ac:dyDescent="0.25">
      <c r="H116" s="5"/>
    </row>
    <row r="117" spans="8:8" x14ac:dyDescent="0.25">
      <c r="H117" s="5"/>
    </row>
    <row r="118" spans="8:8" x14ac:dyDescent="0.25">
      <c r="H118" s="5"/>
    </row>
    <row r="119" spans="8:8" x14ac:dyDescent="0.25">
      <c r="H119" s="5"/>
    </row>
    <row r="120" spans="8:8" x14ac:dyDescent="0.25">
      <c r="H120" s="5"/>
    </row>
    <row r="121" spans="8:8" x14ac:dyDescent="0.25">
      <c r="H121" s="5"/>
    </row>
    <row r="122" spans="8:8" x14ac:dyDescent="0.25">
      <c r="H122" s="5"/>
    </row>
    <row r="123" spans="8:8" x14ac:dyDescent="0.25">
      <c r="H123" s="5"/>
    </row>
    <row r="124" spans="8:8" x14ac:dyDescent="0.25">
      <c r="H124" s="5"/>
    </row>
    <row r="125" spans="8:8" x14ac:dyDescent="0.25">
      <c r="H125" s="5"/>
    </row>
    <row r="126" spans="8:8" x14ac:dyDescent="0.25">
      <c r="H126" s="5"/>
    </row>
    <row r="127" spans="8:8" x14ac:dyDescent="0.25">
      <c r="H127" s="5"/>
    </row>
    <row r="128" spans="8:8" x14ac:dyDescent="0.25">
      <c r="H128" s="5"/>
    </row>
    <row r="129" spans="8:8" x14ac:dyDescent="0.25">
      <c r="H129" s="5"/>
    </row>
    <row r="130" spans="8:8" x14ac:dyDescent="0.25">
      <c r="H130" s="5"/>
    </row>
  </sheetData>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CC26"/>
  <sheetViews>
    <sheetView workbookViewId="0">
      <selection activeCell="J19" sqref="J19"/>
    </sheetView>
  </sheetViews>
  <sheetFormatPr baseColWidth="10" defaultRowHeight="15" x14ac:dyDescent="0.25"/>
  <sheetData>
    <row r="1" spans="1:81" x14ac:dyDescent="0.25">
      <c r="A1" t="s">
        <v>280</v>
      </c>
      <c r="B1" t="s">
        <v>187</v>
      </c>
      <c r="C1" t="s">
        <v>186</v>
      </c>
      <c r="D1" t="s">
        <v>184</v>
      </c>
      <c r="E1" t="s">
        <v>221</v>
      </c>
      <c r="F1" t="s">
        <v>384</v>
      </c>
      <c r="G1" t="s">
        <v>185</v>
      </c>
      <c r="H1" t="s">
        <v>193</v>
      </c>
      <c r="I1" t="s">
        <v>194</v>
      </c>
      <c r="J1" t="s">
        <v>195</v>
      </c>
      <c r="K1" t="s">
        <v>235</v>
      </c>
      <c r="L1" t="s">
        <v>200</v>
      </c>
      <c r="M1" t="s">
        <v>202</v>
      </c>
      <c r="N1" t="s">
        <v>222</v>
      </c>
      <c r="O1" t="s">
        <v>223</v>
      </c>
      <c r="P1" t="s">
        <v>224</v>
      </c>
      <c r="Q1" t="s">
        <v>3574</v>
      </c>
      <c r="R1" s="6" t="s">
        <v>270</v>
      </c>
      <c r="S1" t="s">
        <v>203</v>
      </c>
      <c r="T1" t="s">
        <v>272</v>
      </c>
      <c r="U1" t="s">
        <v>208</v>
      </c>
      <c r="V1" t="s">
        <v>206</v>
      </c>
      <c r="W1" t="s">
        <v>254</v>
      </c>
      <c r="X1" t="s">
        <v>207</v>
      </c>
      <c r="Y1" t="s">
        <v>253</v>
      </c>
      <c r="Z1" t="s">
        <v>227</v>
      </c>
      <c r="AA1" t="s">
        <v>244</v>
      </c>
      <c r="AB1" t="s">
        <v>255</v>
      </c>
      <c r="AC1" t="s">
        <v>256</v>
      </c>
      <c r="AD1" t="s">
        <v>279</v>
      </c>
      <c r="AE1" t="s">
        <v>303</v>
      </c>
      <c r="AF1" t="s">
        <v>155</v>
      </c>
      <c r="AG1" t="s">
        <v>352</v>
      </c>
      <c r="AH1" t="s">
        <v>377</v>
      </c>
      <c r="AI1" s="1" t="s">
        <v>430</v>
      </c>
      <c r="AJ1" s="5" t="s">
        <v>1188</v>
      </c>
      <c r="AK1" s="5" t="s">
        <v>1603</v>
      </c>
      <c r="AL1" s="5" t="s">
        <v>1746</v>
      </c>
      <c r="AM1" s="5" t="s">
        <v>1153</v>
      </c>
      <c r="AN1" s="5" t="s">
        <v>3618</v>
      </c>
      <c r="AO1" s="5" t="s">
        <v>3269</v>
      </c>
      <c r="AP1" s="5" t="s">
        <v>472</v>
      </c>
      <c r="AQ1" t="s">
        <v>273</v>
      </c>
      <c r="AR1" t="s">
        <v>226</v>
      </c>
      <c r="AS1" t="s">
        <v>1350</v>
      </c>
      <c r="AT1" t="s">
        <v>463</v>
      </c>
      <c r="AU1" t="s">
        <v>3560</v>
      </c>
      <c r="AV1" t="s">
        <v>239</v>
      </c>
      <c r="AW1" t="s">
        <v>245</v>
      </c>
      <c r="AX1" t="s">
        <v>257</v>
      </c>
      <c r="AY1" s="1" t="s">
        <v>246</v>
      </c>
      <c r="AZ1" s="5" t="s">
        <v>362</v>
      </c>
      <c r="BA1" t="s">
        <v>1251</v>
      </c>
      <c r="BB1" t="s">
        <v>3677</v>
      </c>
      <c r="BC1" t="s">
        <v>241</v>
      </c>
      <c r="BD1" s="1" t="s">
        <v>240</v>
      </c>
      <c r="BE1" s="5" t="s">
        <v>1253</v>
      </c>
      <c r="BF1" s="5" t="s">
        <v>258</v>
      </c>
      <c r="BG1" s="5" t="s">
        <v>1172</v>
      </c>
      <c r="BH1" s="5" t="s">
        <v>259</v>
      </c>
      <c r="BI1" s="5" t="s">
        <v>305</v>
      </c>
      <c r="BJ1" s="5" t="s">
        <v>363</v>
      </c>
      <c r="BK1" s="1" t="s">
        <v>354</v>
      </c>
      <c r="BL1" t="s">
        <v>298</v>
      </c>
      <c r="BM1" t="s">
        <v>260</v>
      </c>
      <c r="BN1" t="s">
        <v>334</v>
      </c>
      <c r="BO1" t="s">
        <v>353</v>
      </c>
      <c r="BP1" t="s">
        <v>3591</v>
      </c>
      <c r="BQ1" t="s">
        <v>237</v>
      </c>
      <c r="BR1" t="s">
        <v>209</v>
      </c>
      <c r="BS1" t="s">
        <v>228</v>
      </c>
      <c r="BT1" t="s">
        <v>230</v>
      </c>
      <c r="BU1" t="s">
        <v>211</v>
      </c>
      <c r="BV1" t="s">
        <v>212</v>
      </c>
      <c r="BW1" t="s">
        <v>214</v>
      </c>
      <c r="BX1" t="s">
        <v>215</v>
      </c>
      <c r="BY1" t="s">
        <v>313</v>
      </c>
      <c r="BZ1" t="s">
        <v>911</v>
      </c>
      <c r="CA1" t="s">
        <v>914</v>
      </c>
      <c r="CB1" t="s">
        <v>916</v>
      </c>
      <c r="CC1" t="s">
        <v>247</v>
      </c>
    </row>
    <row r="2" spans="1:81" s="5" customFormat="1" x14ac:dyDescent="0.25">
      <c r="A2" s="5">
        <v>272</v>
      </c>
      <c r="B2" s="5" t="s">
        <v>13</v>
      </c>
      <c r="C2" s="5" t="s">
        <v>266</v>
      </c>
      <c r="D2" s="5" t="s">
        <v>251</v>
      </c>
      <c r="E2" s="5" t="s">
        <v>219</v>
      </c>
      <c r="F2" s="5" t="s">
        <v>79</v>
      </c>
      <c r="G2" s="5" t="s">
        <v>267</v>
      </c>
      <c r="H2" s="5">
        <v>1411</v>
      </c>
      <c r="I2" s="5" t="s">
        <v>265</v>
      </c>
      <c r="J2" s="5">
        <v>20</v>
      </c>
      <c r="L2" s="5" t="s">
        <v>269</v>
      </c>
      <c r="N2" s="5" t="s">
        <v>205</v>
      </c>
      <c r="O2" s="5" t="s">
        <v>225</v>
      </c>
      <c r="P2" s="5" t="s">
        <v>205</v>
      </c>
      <c r="Q2" s="5" t="s">
        <v>225</v>
      </c>
      <c r="R2" s="5" t="s">
        <v>271</v>
      </c>
      <c r="S2" s="5" t="s">
        <v>204</v>
      </c>
      <c r="T2" s="5" t="s">
        <v>205</v>
      </c>
      <c r="U2" s="5" t="s">
        <v>205</v>
      </c>
      <c r="V2" s="5" t="s">
        <v>205</v>
      </c>
      <c r="W2" s="5" t="s">
        <v>205</v>
      </c>
      <c r="X2" s="5" t="s">
        <v>205</v>
      </c>
      <c r="Y2" s="5" t="s">
        <v>225</v>
      </c>
      <c r="Z2" s="5" t="s">
        <v>205</v>
      </c>
      <c r="AA2" s="5" t="s">
        <v>205</v>
      </c>
      <c r="AB2" s="5" t="s">
        <v>225</v>
      </c>
      <c r="AC2" s="5" t="s">
        <v>225</v>
      </c>
      <c r="AD2" s="5">
        <v>0</v>
      </c>
      <c r="AM2" s="8"/>
      <c r="AN2" s="8"/>
      <c r="AO2" s="8"/>
      <c r="AP2" s="8"/>
      <c r="AQ2" s="5" t="s">
        <v>205</v>
      </c>
      <c r="AR2" s="5" t="s">
        <v>274</v>
      </c>
      <c r="AT2" s="5" t="s">
        <v>1352</v>
      </c>
      <c r="AV2" s="5">
        <v>1</v>
      </c>
      <c r="AW2" s="5">
        <v>0</v>
      </c>
      <c r="AX2" s="5">
        <v>14</v>
      </c>
      <c r="BF2" s="5">
        <v>14</v>
      </c>
      <c r="BM2" s="5">
        <v>20</v>
      </c>
      <c r="BV2" s="5" t="s">
        <v>275</v>
      </c>
      <c r="CC2" t="s">
        <v>1173</v>
      </c>
    </row>
    <row r="3" spans="1:81" x14ac:dyDescent="0.25">
      <c r="A3">
        <v>322</v>
      </c>
      <c r="B3" t="s">
        <v>373</v>
      </c>
      <c r="C3" t="s">
        <v>374</v>
      </c>
      <c r="D3" t="s">
        <v>341</v>
      </c>
      <c r="E3" t="s">
        <v>219</v>
      </c>
      <c r="H3">
        <v>1405</v>
      </c>
      <c r="I3" t="s">
        <v>249</v>
      </c>
      <c r="J3">
        <v>2</v>
      </c>
      <c r="L3" t="s">
        <v>269</v>
      </c>
      <c r="M3" t="s">
        <v>201</v>
      </c>
      <c r="CC3" t="s">
        <v>1173</v>
      </c>
    </row>
    <row r="4" spans="1:81" x14ac:dyDescent="0.25">
      <c r="A4">
        <v>332</v>
      </c>
      <c r="B4" t="s">
        <v>11</v>
      </c>
      <c r="C4" t="s">
        <v>918</v>
      </c>
      <c r="D4" t="s">
        <v>378</v>
      </c>
      <c r="E4" t="s">
        <v>219</v>
      </c>
      <c r="F4" t="s">
        <v>385</v>
      </c>
      <c r="G4" t="s">
        <v>386</v>
      </c>
      <c r="H4">
        <v>1376</v>
      </c>
      <c r="I4" t="s">
        <v>383</v>
      </c>
      <c r="J4">
        <v>26</v>
      </c>
      <c r="CC4" t="s">
        <v>1173</v>
      </c>
    </row>
    <row r="5" spans="1:81" x14ac:dyDescent="0.25">
      <c r="A5">
        <v>342</v>
      </c>
      <c r="CC5" t="s">
        <v>394</v>
      </c>
    </row>
    <row r="6" spans="1:81" x14ac:dyDescent="0.25">
      <c r="A6">
        <v>371</v>
      </c>
      <c r="B6" t="s">
        <v>13</v>
      </c>
      <c r="C6" t="s">
        <v>433</v>
      </c>
      <c r="D6" t="s">
        <v>434</v>
      </c>
      <c r="E6" t="s">
        <v>219</v>
      </c>
      <c r="H6">
        <v>1360</v>
      </c>
      <c r="I6" t="s">
        <v>431</v>
      </c>
      <c r="J6">
        <v>2</v>
      </c>
      <c r="K6" s="8" t="s">
        <v>435</v>
      </c>
      <c r="T6" t="s">
        <v>225</v>
      </c>
      <c r="U6">
        <v>1</v>
      </c>
      <c r="V6" t="s">
        <v>225</v>
      </c>
      <c r="W6" t="s">
        <v>225</v>
      </c>
      <c r="X6" s="8" t="s">
        <v>225</v>
      </c>
      <c r="Y6" s="8" t="s">
        <v>225</v>
      </c>
      <c r="Z6" s="8" t="s">
        <v>225</v>
      </c>
      <c r="AA6" s="8" t="s">
        <v>205</v>
      </c>
      <c r="AB6" s="8" t="s">
        <v>225</v>
      </c>
      <c r="AC6" s="8" t="s">
        <v>225</v>
      </c>
      <c r="AD6" s="8" t="s">
        <v>225</v>
      </c>
      <c r="AE6" s="8" t="s">
        <v>225</v>
      </c>
      <c r="AF6" s="8" t="s">
        <v>225</v>
      </c>
      <c r="AG6" s="8" t="s">
        <v>225</v>
      </c>
      <c r="AH6" s="8" t="s">
        <v>225</v>
      </c>
      <c r="AI6" s="8" t="s">
        <v>225</v>
      </c>
      <c r="AJ6" s="8" t="s">
        <v>225</v>
      </c>
      <c r="AK6" s="8" t="s">
        <v>225</v>
      </c>
      <c r="AL6" s="8" t="s">
        <v>225</v>
      </c>
      <c r="AM6" s="8" t="s">
        <v>225</v>
      </c>
      <c r="AN6" s="8" t="s">
        <v>225</v>
      </c>
      <c r="AO6" s="8" t="s">
        <v>225</v>
      </c>
      <c r="AP6" s="8" t="s">
        <v>225</v>
      </c>
      <c r="AQ6" s="8" t="s">
        <v>225</v>
      </c>
      <c r="AU6" t="s">
        <v>3561</v>
      </c>
      <c r="AV6">
        <v>0</v>
      </c>
      <c r="AW6">
        <v>0</v>
      </c>
      <c r="AX6">
        <v>0</v>
      </c>
      <c r="AY6">
        <v>0</v>
      </c>
      <c r="AZ6">
        <v>0</v>
      </c>
      <c r="BA6">
        <v>0</v>
      </c>
      <c r="BB6">
        <v>0</v>
      </c>
      <c r="BC6">
        <v>0</v>
      </c>
      <c r="BD6" s="13">
        <f>1/10</f>
        <v>0.1</v>
      </c>
      <c r="BE6">
        <v>0</v>
      </c>
      <c r="BF6">
        <v>0</v>
      </c>
      <c r="BH6">
        <v>0</v>
      </c>
      <c r="BI6">
        <v>0</v>
      </c>
      <c r="BJ6">
        <v>0</v>
      </c>
      <c r="BK6">
        <v>0</v>
      </c>
      <c r="BM6">
        <v>0</v>
      </c>
      <c r="BN6">
        <v>0</v>
      </c>
      <c r="BO6">
        <v>0</v>
      </c>
      <c r="BP6">
        <v>0</v>
      </c>
      <c r="BR6" t="s">
        <v>210</v>
      </c>
      <c r="BU6" t="s">
        <v>432</v>
      </c>
      <c r="BV6" t="s">
        <v>444</v>
      </c>
      <c r="BW6" t="s">
        <v>441</v>
      </c>
      <c r="BX6" t="s">
        <v>442</v>
      </c>
      <c r="BY6" t="s">
        <v>443</v>
      </c>
    </row>
    <row r="7" spans="1:81" x14ac:dyDescent="0.25">
      <c r="A7">
        <v>772</v>
      </c>
      <c r="B7" t="s">
        <v>135</v>
      </c>
      <c r="C7" t="s">
        <v>880</v>
      </c>
      <c r="D7" t="s">
        <v>903</v>
      </c>
      <c r="E7" t="s">
        <v>219</v>
      </c>
      <c r="H7">
        <v>1404</v>
      </c>
      <c r="I7" t="s">
        <v>198</v>
      </c>
      <c r="J7">
        <v>7</v>
      </c>
      <c r="L7" t="s">
        <v>904</v>
      </c>
      <c r="M7" t="s">
        <v>905</v>
      </c>
      <c r="N7" t="s">
        <v>205</v>
      </c>
      <c r="O7" t="s">
        <v>205</v>
      </c>
      <c r="P7" t="s">
        <v>205</v>
      </c>
      <c r="Q7" s="5" t="s">
        <v>225</v>
      </c>
      <c r="R7" t="s">
        <v>906</v>
      </c>
      <c r="BU7" t="s">
        <v>907</v>
      </c>
      <c r="BV7" t="s">
        <v>936</v>
      </c>
      <c r="BW7" t="s">
        <v>908</v>
      </c>
      <c r="BX7" t="s">
        <v>909</v>
      </c>
      <c r="BY7" t="s">
        <v>910</v>
      </c>
      <c r="BZ7" t="s">
        <v>912</v>
      </c>
      <c r="CA7" t="s">
        <v>915</v>
      </c>
      <c r="CB7" t="s">
        <v>917</v>
      </c>
      <c r="CC7" s="5" t="s">
        <v>913</v>
      </c>
    </row>
    <row r="8" spans="1:81" x14ac:dyDescent="0.25">
      <c r="A8">
        <v>782</v>
      </c>
      <c r="B8" t="s">
        <v>11</v>
      </c>
      <c r="C8" t="s">
        <v>880</v>
      </c>
      <c r="D8" t="s">
        <v>903</v>
      </c>
      <c r="E8" t="s">
        <v>219</v>
      </c>
      <c r="H8">
        <v>1404</v>
      </c>
      <c r="I8" t="s">
        <v>198</v>
      </c>
      <c r="J8">
        <v>7</v>
      </c>
      <c r="L8" t="s">
        <v>904</v>
      </c>
      <c r="M8" t="s">
        <v>905</v>
      </c>
      <c r="R8" t="s">
        <v>906</v>
      </c>
      <c r="AQ8" t="s">
        <v>930</v>
      </c>
      <c r="BU8" t="s">
        <v>907</v>
      </c>
      <c r="BV8" t="s">
        <v>936</v>
      </c>
      <c r="BW8" t="s">
        <v>931</v>
      </c>
      <c r="BX8" t="s">
        <v>932</v>
      </c>
      <c r="BY8" t="s">
        <v>933</v>
      </c>
      <c r="BZ8" t="s">
        <v>934</v>
      </c>
      <c r="CA8" t="s">
        <v>935</v>
      </c>
    </row>
    <row r="9" spans="1:81" x14ac:dyDescent="0.25">
      <c r="A9">
        <v>872</v>
      </c>
      <c r="B9" t="s">
        <v>135</v>
      </c>
      <c r="C9" t="s">
        <v>3794</v>
      </c>
      <c r="D9" t="s">
        <v>776</v>
      </c>
      <c r="E9" t="s">
        <v>219</v>
      </c>
      <c r="F9" t="s">
        <v>1096</v>
      </c>
      <c r="H9">
        <v>1395</v>
      </c>
      <c r="I9" t="s">
        <v>198</v>
      </c>
      <c r="J9">
        <v>15</v>
      </c>
      <c r="AY9">
        <v>3</v>
      </c>
      <c r="BD9">
        <v>5</v>
      </c>
      <c r="BM9">
        <f>5+3/12</f>
        <v>5.25</v>
      </c>
      <c r="CC9" t="s">
        <v>394</v>
      </c>
    </row>
    <row r="10" spans="1:81" x14ac:dyDescent="0.25">
      <c r="A10">
        <v>882</v>
      </c>
      <c r="B10" t="s">
        <v>1137</v>
      </c>
      <c r="C10" t="s">
        <v>69</v>
      </c>
      <c r="D10" t="s">
        <v>1138</v>
      </c>
      <c r="E10" t="s">
        <v>219</v>
      </c>
      <c r="H10">
        <v>1405</v>
      </c>
      <c r="I10" t="s">
        <v>383</v>
      </c>
      <c r="J10">
        <v>7</v>
      </c>
      <c r="AQ10" t="s">
        <v>1143</v>
      </c>
      <c r="BV10" t="s">
        <v>1139</v>
      </c>
      <c r="BW10" t="s">
        <v>1140</v>
      </c>
      <c r="BX10" t="s">
        <v>1141</v>
      </c>
      <c r="BY10" t="s">
        <v>1142</v>
      </c>
      <c r="CC10" t="s">
        <v>1173</v>
      </c>
    </row>
    <row r="11" spans="1:81" x14ac:dyDescent="0.25">
      <c r="A11">
        <v>884</v>
      </c>
      <c r="B11" t="s">
        <v>465</v>
      </c>
      <c r="C11" t="s">
        <v>75</v>
      </c>
      <c r="D11" t="s">
        <v>1138</v>
      </c>
      <c r="E11" t="s">
        <v>219</v>
      </c>
      <c r="F11" t="s">
        <v>1147</v>
      </c>
      <c r="H11">
        <v>1405</v>
      </c>
      <c r="I11" t="s">
        <v>383</v>
      </c>
      <c r="J11">
        <v>7</v>
      </c>
      <c r="CC11" t="s">
        <v>394</v>
      </c>
    </row>
    <row r="12" spans="1:81" x14ac:dyDescent="0.25">
      <c r="A12">
        <v>891</v>
      </c>
      <c r="B12" t="s">
        <v>465</v>
      </c>
      <c r="C12" t="s">
        <v>169</v>
      </c>
      <c r="D12" t="s">
        <v>1149</v>
      </c>
      <c r="E12" t="s">
        <v>219</v>
      </c>
      <c r="F12" t="s">
        <v>1148</v>
      </c>
      <c r="H12">
        <v>1443</v>
      </c>
      <c r="I12" t="s">
        <v>383</v>
      </c>
      <c r="J12">
        <v>16</v>
      </c>
      <c r="K12" s="8" t="s">
        <v>1167</v>
      </c>
      <c r="L12" t="s">
        <v>236</v>
      </c>
      <c r="N12" s="19" t="s">
        <v>205</v>
      </c>
      <c r="O12" t="s">
        <v>205</v>
      </c>
      <c r="P12" t="s">
        <v>205</v>
      </c>
      <c r="Q12" s="5" t="s">
        <v>225</v>
      </c>
      <c r="T12" t="s">
        <v>205</v>
      </c>
      <c r="U12">
        <v>1</v>
      </c>
      <c r="V12" t="s">
        <v>205</v>
      </c>
      <c r="W12" t="s">
        <v>225</v>
      </c>
      <c r="X12" t="s">
        <v>205</v>
      </c>
      <c r="Y12" t="s">
        <v>205</v>
      </c>
      <c r="Z12" t="s">
        <v>225</v>
      </c>
      <c r="AA12" t="s">
        <v>205</v>
      </c>
      <c r="AB12" t="s">
        <v>225</v>
      </c>
      <c r="AC12" t="s">
        <v>225</v>
      </c>
      <c r="AD12" t="s">
        <v>205</v>
      </c>
      <c r="AE12" t="s">
        <v>225</v>
      </c>
      <c r="AF12" t="s">
        <v>225</v>
      </c>
      <c r="AG12" t="s">
        <v>225</v>
      </c>
      <c r="AH12" t="s">
        <v>225</v>
      </c>
      <c r="AI12" t="s">
        <v>205</v>
      </c>
      <c r="AJ12" t="s">
        <v>225</v>
      </c>
      <c r="AK12" t="s">
        <v>225</v>
      </c>
      <c r="AL12" t="s">
        <v>225</v>
      </c>
      <c r="AM12" s="8" t="s">
        <v>225</v>
      </c>
      <c r="AN12" s="8" t="s">
        <v>225</v>
      </c>
      <c r="AO12" s="8" t="s">
        <v>225</v>
      </c>
      <c r="AP12" s="8" t="s">
        <v>225</v>
      </c>
      <c r="AQ12" t="s">
        <v>205</v>
      </c>
      <c r="AR12" t="s">
        <v>1152</v>
      </c>
      <c r="AU12" s="1" t="s">
        <v>929</v>
      </c>
      <c r="AV12">
        <f>1/2</f>
        <v>0.5</v>
      </c>
      <c r="AW12">
        <v>0</v>
      </c>
      <c r="AX12">
        <v>0</v>
      </c>
      <c r="AY12">
        <v>2</v>
      </c>
      <c r="AZ12">
        <v>0</v>
      </c>
      <c r="BA12">
        <v>0</v>
      </c>
      <c r="BB12">
        <v>0</v>
      </c>
      <c r="BC12">
        <v>0</v>
      </c>
      <c r="BD12">
        <v>4</v>
      </c>
      <c r="BE12">
        <v>0</v>
      </c>
      <c r="BF12">
        <v>0</v>
      </c>
      <c r="BG12">
        <v>1</v>
      </c>
      <c r="BH12">
        <v>0</v>
      </c>
      <c r="BI12">
        <v>0</v>
      </c>
      <c r="BJ12">
        <v>0</v>
      </c>
      <c r="BK12">
        <v>0</v>
      </c>
      <c r="BM12">
        <f>8+6/12+3/12+20/12+3/12</f>
        <v>10.666666666666666</v>
      </c>
      <c r="BN12">
        <v>0</v>
      </c>
      <c r="BO12">
        <v>0</v>
      </c>
      <c r="BP12">
        <v>0</v>
      </c>
      <c r="BQ12" t="s">
        <v>248</v>
      </c>
      <c r="BR12" t="s">
        <v>210</v>
      </c>
      <c r="BS12" t="s">
        <v>1166</v>
      </c>
      <c r="BT12" t="s">
        <v>563</v>
      </c>
      <c r="BU12" t="s">
        <v>1190</v>
      </c>
      <c r="BV12" t="s">
        <v>1171</v>
      </c>
      <c r="BW12" t="s">
        <v>1168</v>
      </c>
      <c r="BX12" t="s">
        <v>1169</v>
      </c>
      <c r="BY12" t="s">
        <v>1170</v>
      </c>
      <c r="CC12" t="s">
        <v>1173</v>
      </c>
    </row>
    <row r="13" spans="1:81" x14ac:dyDescent="0.25">
      <c r="A13">
        <v>911</v>
      </c>
      <c r="B13" t="s">
        <v>465</v>
      </c>
      <c r="C13" t="s">
        <v>1174</v>
      </c>
      <c r="D13" t="s">
        <v>1175</v>
      </c>
      <c r="E13" t="s">
        <v>219</v>
      </c>
      <c r="G13" t="s">
        <v>1176</v>
      </c>
      <c r="H13">
        <v>1401</v>
      </c>
      <c r="I13" t="s">
        <v>1038</v>
      </c>
      <c r="J13">
        <v>8</v>
      </c>
      <c r="L13" t="s">
        <v>236</v>
      </c>
      <c r="T13">
        <v>1</v>
      </c>
      <c r="U13" t="s">
        <v>225</v>
      </c>
      <c r="V13" t="s">
        <v>225</v>
      </c>
      <c r="W13" t="s">
        <v>225</v>
      </c>
      <c r="X13" t="s">
        <v>225</v>
      </c>
      <c r="Y13" t="s">
        <v>225</v>
      </c>
      <c r="Z13" t="s">
        <v>225</v>
      </c>
      <c r="AA13" t="s">
        <v>225</v>
      </c>
      <c r="AB13">
        <v>1</v>
      </c>
      <c r="AC13" t="s">
        <v>225</v>
      </c>
      <c r="AD13" t="s">
        <v>225</v>
      </c>
      <c r="AE13" t="s">
        <v>225</v>
      </c>
      <c r="AF13" t="s">
        <v>225</v>
      </c>
      <c r="AG13" t="s">
        <v>225</v>
      </c>
      <c r="AH13" t="s">
        <v>225</v>
      </c>
      <c r="AI13" t="s">
        <v>225</v>
      </c>
      <c r="AJ13" t="s">
        <v>205</v>
      </c>
      <c r="AK13" t="s">
        <v>225</v>
      </c>
      <c r="AL13" t="s">
        <v>225</v>
      </c>
      <c r="AM13" s="8" t="s">
        <v>225</v>
      </c>
      <c r="AN13" s="8" t="s">
        <v>225</v>
      </c>
      <c r="AO13" s="8" t="s">
        <v>225</v>
      </c>
      <c r="AP13" s="8" t="s">
        <v>225</v>
      </c>
      <c r="AQ13" t="s">
        <v>225</v>
      </c>
      <c r="AU13" t="s">
        <v>539</v>
      </c>
      <c r="AV13" s="6">
        <v>1.5</v>
      </c>
      <c r="AW13" s="6">
        <v>0</v>
      </c>
      <c r="AX13" s="6">
        <v>0</v>
      </c>
      <c r="AY13" s="6">
        <v>0</v>
      </c>
      <c r="AZ13" s="6">
        <v>0</v>
      </c>
      <c r="BA13" s="6">
        <v>0</v>
      </c>
      <c r="BB13" s="6">
        <v>0</v>
      </c>
      <c r="BC13" s="6">
        <v>0</v>
      </c>
      <c r="BD13" s="6">
        <v>1</v>
      </c>
      <c r="BE13" s="6">
        <v>0</v>
      </c>
      <c r="BF13" s="6">
        <v>0</v>
      </c>
      <c r="BG13" s="6">
        <v>0</v>
      </c>
      <c r="BH13" s="6">
        <v>0</v>
      </c>
      <c r="BI13" s="6">
        <v>0</v>
      </c>
      <c r="BJ13" s="6">
        <v>0</v>
      </c>
      <c r="BK13" s="6">
        <v>0</v>
      </c>
      <c r="BL13" s="6"/>
      <c r="BM13">
        <f>4/12</f>
        <v>0.33333333333333331</v>
      </c>
      <c r="BN13" s="6">
        <v>0</v>
      </c>
      <c r="BO13" s="6">
        <v>0</v>
      </c>
      <c r="BP13" s="6">
        <v>0</v>
      </c>
      <c r="BR13" t="s">
        <v>210</v>
      </c>
      <c r="BU13" t="s">
        <v>1190</v>
      </c>
      <c r="BV13" t="s">
        <v>1196</v>
      </c>
      <c r="BW13" t="s">
        <v>1191</v>
      </c>
      <c r="BX13" t="s">
        <v>1192</v>
      </c>
      <c r="BY13" t="s">
        <v>1193</v>
      </c>
      <c r="BZ13" t="s">
        <v>1194</v>
      </c>
      <c r="CA13" t="s">
        <v>1195</v>
      </c>
    </row>
    <row r="14" spans="1:81" x14ac:dyDescent="0.25">
      <c r="A14">
        <v>1052</v>
      </c>
      <c r="B14" t="s">
        <v>465</v>
      </c>
      <c r="C14" t="s">
        <v>1347</v>
      </c>
      <c r="D14" t="s">
        <v>1318</v>
      </c>
      <c r="E14" t="s">
        <v>219</v>
      </c>
      <c r="F14" t="s">
        <v>1348</v>
      </c>
      <c r="H14">
        <v>1390</v>
      </c>
      <c r="I14" t="s">
        <v>1038</v>
      </c>
      <c r="J14">
        <v>8</v>
      </c>
      <c r="L14" t="s">
        <v>236</v>
      </c>
      <c r="M14" t="s">
        <v>201</v>
      </c>
      <c r="N14" t="s">
        <v>205</v>
      </c>
      <c r="O14" t="s">
        <v>205</v>
      </c>
      <c r="P14" t="s">
        <v>205</v>
      </c>
      <c r="Q14" s="5" t="s">
        <v>225</v>
      </c>
      <c r="R14" t="s">
        <v>1349</v>
      </c>
      <c r="AS14" t="s">
        <v>1351</v>
      </c>
      <c r="BU14" t="s">
        <v>1372</v>
      </c>
      <c r="BV14" t="s">
        <v>1356</v>
      </c>
      <c r="BW14" t="s">
        <v>1353</v>
      </c>
      <c r="BX14" t="s">
        <v>1354</v>
      </c>
      <c r="BY14" t="s">
        <v>1355</v>
      </c>
    </row>
    <row r="15" spans="1:81" x14ac:dyDescent="0.25">
      <c r="A15">
        <v>1062</v>
      </c>
      <c r="B15" t="s">
        <v>13</v>
      </c>
      <c r="C15" t="s">
        <v>1361</v>
      </c>
      <c r="D15" t="s">
        <v>1318</v>
      </c>
      <c r="E15" t="s">
        <v>219</v>
      </c>
      <c r="F15" t="s">
        <v>1363</v>
      </c>
      <c r="G15" t="s">
        <v>1362</v>
      </c>
      <c r="H15">
        <v>1360</v>
      </c>
      <c r="I15" t="s">
        <v>198</v>
      </c>
      <c r="J15">
        <v>24</v>
      </c>
      <c r="K15" s="8" t="s">
        <v>435</v>
      </c>
      <c r="L15" s="8" t="s">
        <v>1371</v>
      </c>
      <c r="S15" s="5" t="s">
        <v>204</v>
      </c>
      <c r="T15" t="s">
        <v>225</v>
      </c>
      <c r="U15" t="s">
        <v>225</v>
      </c>
      <c r="V15" t="s">
        <v>225</v>
      </c>
      <c r="W15" t="s">
        <v>225</v>
      </c>
      <c r="X15" t="s">
        <v>225</v>
      </c>
      <c r="Y15" t="s">
        <v>225</v>
      </c>
      <c r="Z15" t="s">
        <v>225</v>
      </c>
      <c r="AA15" t="s">
        <v>205</v>
      </c>
      <c r="AB15" t="s">
        <v>225</v>
      </c>
      <c r="AC15" t="s">
        <v>225</v>
      </c>
      <c r="AD15" t="s">
        <v>225</v>
      </c>
      <c r="AE15" t="s">
        <v>225</v>
      </c>
      <c r="AF15" t="s">
        <v>225</v>
      </c>
      <c r="AG15" t="s">
        <v>225</v>
      </c>
      <c r="AH15" t="s">
        <v>225</v>
      </c>
      <c r="AI15" t="s">
        <v>225</v>
      </c>
      <c r="AJ15" t="s">
        <v>225</v>
      </c>
      <c r="AK15" t="s">
        <v>225</v>
      </c>
      <c r="AL15" t="s">
        <v>225</v>
      </c>
      <c r="AM15" s="8" t="s">
        <v>225</v>
      </c>
      <c r="AN15" s="8" t="s">
        <v>225</v>
      </c>
      <c r="AO15" s="8" t="s">
        <v>225</v>
      </c>
      <c r="AP15" s="8" t="s">
        <v>225</v>
      </c>
      <c r="AQ15" t="s">
        <v>225</v>
      </c>
      <c r="AV15">
        <v>0</v>
      </c>
      <c r="AW15">
        <v>0</v>
      </c>
      <c r="AX15">
        <v>0</v>
      </c>
      <c r="AY15">
        <v>0</v>
      </c>
      <c r="AZ15">
        <v>0</v>
      </c>
      <c r="BA15">
        <v>0</v>
      </c>
      <c r="BB15">
        <v>0</v>
      </c>
      <c r="BC15">
        <v>0</v>
      </c>
      <c r="BD15">
        <v>0</v>
      </c>
      <c r="BE15">
        <v>0</v>
      </c>
      <c r="BF15">
        <v>0</v>
      </c>
      <c r="BG15">
        <v>0</v>
      </c>
      <c r="BH15">
        <v>0</v>
      </c>
      <c r="BI15">
        <v>0</v>
      </c>
      <c r="BJ15">
        <v>0</v>
      </c>
      <c r="BK15">
        <v>0</v>
      </c>
      <c r="BL15" t="s">
        <v>1370</v>
      </c>
      <c r="BM15">
        <f>2/12</f>
        <v>0.16666666666666666</v>
      </c>
      <c r="BN15">
        <v>0</v>
      </c>
      <c r="BO15">
        <v>0</v>
      </c>
      <c r="BP15">
        <v>0</v>
      </c>
      <c r="BR15" t="s">
        <v>210</v>
      </c>
      <c r="BU15" t="s">
        <v>539</v>
      </c>
      <c r="BV15" t="s">
        <v>1360</v>
      </c>
      <c r="BW15" t="s">
        <v>1373</v>
      </c>
      <c r="BX15" t="s">
        <v>1374</v>
      </c>
      <c r="BY15" t="s">
        <v>1375</v>
      </c>
      <c r="BZ15" t="s">
        <v>1376</v>
      </c>
      <c r="CC15" t="s">
        <v>1364</v>
      </c>
    </row>
    <row r="16" spans="1:81" x14ac:dyDescent="0.25">
      <c r="A16">
        <v>1102</v>
      </c>
      <c r="B16" t="s">
        <v>11</v>
      </c>
      <c r="C16" t="s">
        <v>1454</v>
      </c>
      <c r="D16" t="s">
        <v>1455</v>
      </c>
      <c r="E16" t="s">
        <v>219</v>
      </c>
      <c r="F16" t="s">
        <v>1456</v>
      </c>
      <c r="H16">
        <v>1380</v>
      </c>
      <c r="I16" t="s">
        <v>1082</v>
      </c>
      <c r="J16">
        <v>8</v>
      </c>
      <c r="T16" t="s">
        <v>225</v>
      </c>
      <c r="U16" t="s">
        <v>225</v>
      </c>
      <c r="V16" t="s">
        <v>225</v>
      </c>
      <c r="W16" t="s">
        <v>225</v>
      </c>
      <c r="X16" t="s">
        <v>225</v>
      </c>
      <c r="Y16" t="s">
        <v>225</v>
      </c>
      <c r="Z16" t="s">
        <v>225</v>
      </c>
      <c r="AA16" t="s">
        <v>225</v>
      </c>
      <c r="AB16" t="s">
        <v>225</v>
      </c>
      <c r="AC16" t="s">
        <v>225</v>
      </c>
      <c r="AD16" t="s">
        <v>225</v>
      </c>
      <c r="AE16" t="s">
        <v>225</v>
      </c>
      <c r="AF16" t="s">
        <v>225</v>
      </c>
      <c r="AG16" t="s">
        <v>225</v>
      </c>
      <c r="AH16" t="s">
        <v>225</v>
      </c>
      <c r="AI16" t="s">
        <v>225</v>
      </c>
      <c r="AJ16" t="s">
        <v>225</v>
      </c>
      <c r="AK16" t="s">
        <v>225</v>
      </c>
      <c r="AL16" t="s">
        <v>225</v>
      </c>
      <c r="AM16" s="8" t="s">
        <v>225</v>
      </c>
      <c r="AN16" s="8" t="s">
        <v>225</v>
      </c>
      <c r="AO16" s="8" t="s">
        <v>225</v>
      </c>
      <c r="AP16" s="8" t="s">
        <v>225</v>
      </c>
      <c r="AQ16" t="s">
        <v>205</v>
      </c>
      <c r="AT16" s="6" t="s">
        <v>1457</v>
      </c>
      <c r="AV16">
        <v>0</v>
      </c>
      <c r="AW16">
        <v>0</v>
      </c>
      <c r="AX16">
        <v>0</v>
      </c>
      <c r="AY16">
        <v>0</v>
      </c>
      <c r="AZ16">
        <v>0</v>
      </c>
      <c r="BA16">
        <v>0</v>
      </c>
      <c r="BB16">
        <v>0</v>
      </c>
      <c r="BC16">
        <v>0</v>
      </c>
      <c r="BD16">
        <v>0</v>
      </c>
      <c r="BE16">
        <v>0</v>
      </c>
      <c r="BF16">
        <v>0</v>
      </c>
      <c r="BG16">
        <v>0</v>
      </c>
      <c r="BH16">
        <v>0</v>
      </c>
      <c r="BI16">
        <v>0</v>
      </c>
      <c r="BJ16">
        <v>0</v>
      </c>
      <c r="BK16">
        <v>0</v>
      </c>
      <c r="BM16">
        <f>2/12</f>
        <v>0.16666666666666666</v>
      </c>
      <c r="BN16">
        <v>0</v>
      </c>
      <c r="BO16">
        <v>1</v>
      </c>
      <c r="BP16">
        <v>0</v>
      </c>
    </row>
    <row r="17" spans="1:81" x14ac:dyDescent="0.25">
      <c r="A17">
        <v>1191</v>
      </c>
      <c r="B17" t="s">
        <v>465</v>
      </c>
      <c r="C17" t="s">
        <v>1602</v>
      </c>
      <c r="D17" t="s">
        <v>124</v>
      </c>
      <c r="E17" t="s">
        <v>219</v>
      </c>
      <c r="G17" t="s">
        <v>1176</v>
      </c>
      <c r="H17">
        <v>1396</v>
      </c>
      <c r="I17" t="s">
        <v>1038</v>
      </c>
      <c r="J17">
        <v>10</v>
      </c>
      <c r="L17" t="s">
        <v>1605</v>
      </c>
      <c r="S17" s="5" t="s">
        <v>204</v>
      </c>
      <c r="T17" t="s">
        <v>225</v>
      </c>
      <c r="U17" t="s">
        <v>225</v>
      </c>
      <c r="V17" t="s">
        <v>225</v>
      </c>
      <c r="W17" t="s">
        <v>225</v>
      </c>
      <c r="X17" t="s">
        <v>225</v>
      </c>
      <c r="Y17" t="s">
        <v>225</v>
      </c>
      <c r="Z17" t="s">
        <v>225</v>
      </c>
      <c r="AA17" t="s">
        <v>225</v>
      </c>
      <c r="AB17" t="s">
        <v>225</v>
      </c>
      <c r="AC17" t="s">
        <v>225</v>
      </c>
      <c r="AD17" t="s">
        <v>225</v>
      </c>
      <c r="AE17" t="s">
        <v>225</v>
      </c>
      <c r="AF17" t="s">
        <v>225</v>
      </c>
      <c r="AG17" t="s">
        <v>225</v>
      </c>
      <c r="AH17" t="s">
        <v>225</v>
      </c>
      <c r="AI17" t="s">
        <v>225</v>
      </c>
      <c r="AJ17" t="s">
        <v>225</v>
      </c>
      <c r="AK17" t="s">
        <v>205</v>
      </c>
      <c r="AL17" t="s">
        <v>225</v>
      </c>
      <c r="AM17" s="8" t="s">
        <v>225</v>
      </c>
      <c r="AN17" s="8" t="s">
        <v>225</v>
      </c>
      <c r="AO17" s="8" t="s">
        <v>225</v>
      </c>
      <c r="AP17" s="8" t="s">
        <v>225</v>
      </c>
      <c r="AQ17" t="s">
        <v>225</v>
      </c>
      <c r="AU17" t="s">
        <v>1455</v>
      </c>
      <c r="AV17">
        <v>1</v>
      </c>
      <c r="AW17">
        <v>0</v>
      </c>
      <c r="AX17">
        <v>0</v>
      </c>
      <c r="AY17">
        <v>0</v>
      </c>
      <c r="AZ17">
        <v>1</v>
      </c>
      <c r="BA17">
        <v>0</v>
      </c>
      <c r="BB17">
        <v>0</v>
      </c>
      <c r="BC17">
        <v>0</v>
      </c>
      <c r="BD17">
        <v>0</v>
      </c>
      <c r="BE17">
        <v>0</v>
      </c>
      <c r="BF17">
        <v>0</v>
      </c>
      <c r="BG17">
        <v>0</v>
      </c>
      <c r="BH17">
        <v>1</v>
      </c>
      <c r="BI17">
        <v>0</v>
      </c>
      <c r="BJ17">
        <v>0</v>
      </c>
      <c r="BK17">
        <v>0</v>
      </c>
      <c r="BM17">
        <f>6/12</f>
        <v>0.5</v>
      </c>
      <c r="BN17">
        <v>0</v>
      </c>
      <c r="BO17">
        <v>0</v>
      </c>
      <c r="BP17">
        <v>0</v>
      </c>
      <c r="BU17" t="s">
        <v>1606</v>
      </c>
      <c r="BV17" t="s">
        <v>1611</v>
      </c>
      <c r="BW17" t="s">
        <v>1608</v>
      </c>
      <c r="BX17" t="s">
        <v>1607</v>
      </c>
      <c r="BY17" t="s">
        <v>1609</v>
      </c>
      <c r="BZ17" t="s">
        <v>1610</v>
      </c>
      <c r="CC17" t="s">
        <v>1173</v>
      </c>
    </row>
    <row r="18" spans="1:81" x14ac:dyDescent="0.25">
      <c r="A18">
        <v>1304</v>
      </c>
      <c r="B18" t="s">
        <v>1730</v>
      </c>
      <c r="C18" t="s">
        <v>3845</v>
      </c>
      <c r="D18" t="s">
        <v>1734</v>
      </c>
      <c r="E18" t="s">
        <v>219</v>
      </c>
      <c r="F18" t="s">
        <v>1731</v>
      </c>
      <c r="G18" t="s">
        <v>1732</v>
      </c>
      <c r="H18">
        <v>1386</v>
      </c>
      <c r="I18" t="s">
        <v>1038</v>
      </c>
      <c r="J18">
        <v>28</v>
      </c>
      <c r="T18" t="s">
        <v>225</v>
      </c>
      <c r="U18" t="s">
        <v>225</v>
      </c>
      <c r="V18" t="s">
        <v>225</v>
      </c>
      <c r="W18" t="s">
        <v>225</v>
      </c>
      <c r="X18" t="s">
        <v>225</v>
      </c>
      <c r="Y18" t="s">
        <v>225</v>
      </c>
      <c r="Z18" t="s">
        <v>225</v>
      </c>
      <c r="AA18" t="s">
        <v>225</v>
      </c>
      <c r="AB18" t="s">
        <v>225</v>
      </c>
      <c r="AC18" t="s">
        <v>225</v>
      </c>
      <c r="AD18" t="s">
        <v>225</v>
      </c>
      <c r="AE18" t="s">
        <v>225</v>
      </c>
      <c r="AF18" t="s">
        <v>225</v>
      </c>
      <c r="AG18" t="s">
        <v>225</v>
      </c>
      <c r="AH18" t="s">
        <v>225</v>
      </c>
      <c r="AI18" t="s">
        <v>225</v>
      </c>
      <c r="AJ18" t="s">
        <v>225</v>
      </c>
      <c r="AK18" t="s">
        <v>225</v>
      </c>
      <c r="AL18">
        <v>3</v>
      </c>
      <c r="AM18" s="8" t="s">
        <v>225</v>
      </c>
      <c r="AN18" s="8" t="s">
        <v>225</v>
      </c>
      <c r="AO18" s="8" t="s">
        <v>225</v>
      </c>
      <c r="AP18" s="8" t="s">
        <v>225</v>
      </c>
      <c r="AQ18" t="s">
        <v>225</v>
      </c>
      <c r="AV18">
        <v>0</v>
      </c>
      <c r="AW18">
        <v>0</v>
      </c>
      <c r="AX18">
        <v>0</v>
      </c>
      <c r="AY18">
        <v>0</v>
      </c>
      <c r="AZ18">
        <v>0</v>
      </c>
      <c r="BA18">
        <v>0</v>
      </c>
      <c r="BB18">
        <v>0</v>
      </c>
      <c r="BC18">
        <v>0</v>
      </c>
      <c r="BD18">
        <v>0</v>
      </c>
      <c r="BE18">
        <v>0</v>
      </c>
      <c r="BF18">
        <v>0</v>
      </c>
      <c r="BG18">
        <v>0</v>
      </c>
      <c r="BH18">
        <v>0</v>
      </c>
      <c r="BI18">
        <v>0</v>
      </c>
      <c r="BJ18">
        <v>0</v>
      </c>
      <c r="BK18">
        <v>0</v>
      </c>
      <c r="BM18">
        <f>12/12</f>
        <v>1</v>
      </c>
      <c r="BN18">
        <v>0</v>
      </c>
      <c r="BO18">
        <v>0</v>
      </c>
      <c r="BP18">
        <v>0</v>
      </c>
      <c r="BR18" t="s">
        <v>210</v>
      </c>
      <c r="BS18" t="s">
        <v>1733</v>
      </c>
      <c r="BU18" t="s">
        <v>1747</v>
      </c>
      <c r="BV18" t="s">
        <v>1754</v>
      </c>
      <c r="BW18" t="s">
        <v>1750</v>
      </c>
      <c r="BX18" t="s">
        <v>1748</v>
      </c>
      <c r="BY18" t="s">
        <v>1749</v>
      </c>
      <c r="BZ18" t="s">
        <v>1751</v>
      </c>
      <c r="CA18" t="s">
        <v>1752</v>
      </c>
    </row>
    <row r="19" spans="1:81" x14ac:dyDescent="0.25">
      <c r="A19">
        <v>1403</v>
      </c>
      <c r="B19" t="s">
        <v>2198</v>
      </c>
      <c r="C19" t="s">
        <v>2182</v>
      </c>
      <c r="D19" t="s">
        <v>2183</v>
      </c>
      <c r="E19" t="s">
        <v>219</v>
      </c>
      <c r="H19">
        <v>1346</v>
      </c>
      <c r="I19" t="s">
        <v>1038</v>
      </c>
      <c r="J19" s="5">
        <v>9</v>
      </c>
      <c r="K19" t="s">
        <v>338</v>
      </c>
      <c r="AV19">
        <v>0</v>
      </c>
      <c r="AW19">
        <v>0</v>
      </c>
      <c r="AX19">
        <v>0</v>
      </c>
      <c r="AY19">
        <v>0</v>
      </c>
      <c r="AZ19">
        <v>0</v>
      </c>
      <c r="BA19">
        <v>0</v>
      </c>
      <c r="BB19">
        <v>0</v>
      </c>
      <c r="BC19">
        <v>0</v>
      </c>
      <c r="BD19">
        <v>0</v>
      </c>
      <c r="BE19">
        <v>0</v>
      </c>
      <c r="BF19">
        <v>0</v>
      </c>
      <c r="BG19">
        <v>0</v>
      </c>
      <c r="BH19">
        <v>0</v>
      </c>
      <c r="BI19">
        <v>0</v>
      </c>
      <c r="BJ19">
        <v>0</v>
      </c>
      <c r="BK19">
        <v>0</v>
      </c>
      <c r="BM19">
        <f>6/12</f>
        <v>0.5</v>
      </c>
      <c r="BN19">
        <v>0</v>
      </c>
      <c r="BO19">
        <v>0</v>
      </c>
      <c r="BP19">
        <v>0</v>
      </c>
      <c r="CC19" t="s">
        <v>1173</v>
      </c>
    </row>
    <row r="20" spans="1:81" x14ac:dyDescent="0.25">
      <c r="A20">
        <v>1532</v>
      </c>
      <c r="B20" t="s">
        <v>2623</v>
      </c>
      <c r="C20" t="s">
        <v>2624</v>
      </c>
      <c r="E20" t="s">
        <v>219</v>
      </c>
      <c r="H20">
        <v>1405</v>
      </c>
      <c r="I20" t="s">
        <v>249</v>
      </c>
      <c r="J20">
        <v>2</v>
      </c>
      <c r="L20" t="s">
        <v>236</v>
      </c>
      <c r="AS20" t="s">
        <v>2629</v>
      </c>
      <c r="BU20" t="s">
        <v>2626</v>
      </c>
      <c r="BV20" t="s">
        <v>2630</v>
      </c>
      <c r="BW20" t="s">
        <v>2627</v>
      </c>
      <c r="BX20" t="s">
        <v>2628</v>
      </c>
      <c r="CC20" t="s">
        <v>2625</v>
      </c>
    </row>
    <row r="21" spans="1:81" x14ac:dyDescent="0.25">
      <c r="A21">
        <v>1881</v>
      </c>
      <c r="B21" t="s">
        <v>3542</v>
      </c>
      <c r="C21" t="s">
        <v>3541</v>
      </c>
      <c r="D21" t="s">
        <v>3544</v>
      </c>
      <c r="E21" t="s">
        <v>3219</v>
      </c>
      <c r="F21" t="s">
        <v>3543</v>
      </c>
      <c r="H21">
        <v>1407</v>
      </c>
      <c r="I21" t="s">
        <v>973</v>
      </c>
      <c r="J21">
        <v>3</v>
      </c>
      <c r="T21" t="s">
        <v>225</v>
      </c>
      <c r="U21" t="s">
        <v>225</v>
      </c>
      <c r="V21">
        <v>1</v>
      </c>
      <c r="W21" t="s">
        <v>225</v>
      </c>
      <c r="X21" t="s">
        <v>225</v>
      </c>
      <c r="Y21" t="s">
        <v>225</v>
      </c>
      <c r="Z21">
        <v>1</v>
      </c>
      <c r="AA21" t="s">
        <v>205</v>
      </c>
      <c r="AB21" t="s">
        <v>225</v>
      </c>
      <c r="AC21" t="s">
        <v>225</v>
      </c>
      <c r="AD21" t="s">
        <v>225</v>
      </c>
      <c r="AE21" t="s">
        <v>225</v>
      </c>
      <c r="AF21" t="s">
        <v>205</v>
      </c>
      <c r="AG21" t="s">
        <v>225</v>
      </c>
      <c r="AH21" t="s">
        <v>225</v>
      </c>
      <c r="AI21" t="s">
        <v>225</v>
      </c>
      <c r="AJ21" t="s">
        <v>225</v>
      </c>
      <c r="AK21" t="s">
        <v>225</v>
      </c>
      <c r="AL21" t="s">
        <v>225</v>
      </c>
      <c r="AM21" s="8" t="s">
        <v>225</v>
      </c>
      <c r="AN21" s="8" t="s">
        <v>225</v>
      </c>
      <c r="AO21" s="8" t="s">
        <v>225</v>
      </c>
      <c r="AP21" s="8" t="s">
        <v>225</v>
      </c>
      <c r="AQ21" t="s">
        <v>225</v>
      </c>
      <c r="AS21" t="s">
        <v>3576</v>
      </c>
      <c r="AU21" t="s">
        <v>539</v>
      </c>
      <c r="AV21">
        <v>0</v>
      </c>
      <c r="AW21">
        <v>0</v>
      </c>
      <c r="AX21">
        <v>0</v>
      </c>
      <c r="AY21" s="6">
        <v>4</v>
      </c>
      <c r="AZ21">
        <v>0</v>
      </c>
      <c r="BA21">
        <v>0</v>
      </c>
      <c r="BB21">
        <v>0</v>
      </c>
      <c r="BC21">
        <v>0</v>
      </c>
      <c r="BD21">
        <v>0</v>
      </c>
      <c r="BE21" s="6">
        <v>1</v>
      </c>
      <c r="BF21">
        <v>0</v>
      </c>
      <c r="BG21">
        <v>0</v>
      </c>
      <c r="BH21">
        <v>0</v>
      </c>
      <c r="BI21">
        <v>0</v>
      </c>
      <c r="BJ21">
        <v>0</v>
      </c>
      <c r="BK21">
        <v>0</v>
      </c>
      <c r="BM21">
        <f>4/12</f>
        <v>0.33333333333333331</v>
      </c>
      <c r="BN21">
        <v>0</v>
      </c>
      <c r="BO21">
        <v>1</v>
      </c>
      <c r="BP21">
        <v>0</v>
      </c>
      <c r="BR21" t="s">
        <v>210</v>
      </c>
      <c r="BU21" t="s">
        <v>539</v>
      </c>
      <c r="BV21" t="s">
        <v>3559</v>
      </c>
      <c r="BW21" t="s">
        <v>3555</v>
      </c>
      <c r="BX21" t="s">
        <v>3556</v>
      </c>
      <c r="BY21" t="s">
        <v>3557</v>
      </c>
      <c r="BZ21" t="s">
        <v>3558</v>
      </c>
    </row>
    <row r="22" spans="1:81" x14ac:dyDescent="0.25">
      <c r="A22">
        <v>1891</v>
      </c>
      <c r="B22" t="s">
        <v>3570</v>
      </c>
      <c r="C22" t="s">
        <v>3571</v>
      </c>
      <c r="D22" t="s">
        <v>33</v>
      </c>
      <c r="E22" t="s">
        <v>219</v>
      </c>
      <c r="F22" t="s">
        <v>3572</v>
      </c>
      <c r="H22">
        <v>1380</v>
      </c>
      <c r="I22" t="s">
        <v>973</v>
      </c>
      <c r="J22">
        <v>9</v>
      </c>
      <c r="K22" t="s">
        <v>3573</v>
      </c>
      <c r="L22" t="s">
        <v>236</v>
      </c>
      <c r="N22" t="s">
        <v>205</v>
      </c>
      <c r="O22" t="s">
        <v>205</v>
      </c>
      <c r="P22" t="s">
        <v>205</v>
      </c>
      <c r="Q22" t="s">
        <v>205</v>
      </c>
      <c r="R22" t="s">
        <v>906</v>
      </c>
      <c r="T22">
        <v>1</v>
      </c>
      <c r="U22" t="s">
        <v>225</v>
      </c>
      <c r="V22">
        <v>1</v>
      </c>
      <c r="W22" t="s">
        <v>225</v>
      </c>
      <c r="X22" t="s">
        <v>225</v>
      </c>
      <c r="Y22" t="s">
        <v>225</v>
      </c>
      <c r="Z22">
        <v>1</v>
      </c>
      <c r="AA22" t="s">
        <v>205</v>
      </c>
      <c r="AB22" t="s">
        <v>225</v>
      </c>
      <c r="AC22" t="s">
        <v>225</v>
      </c>
      <c r="AD22">
        <v>1</v>
      </c>
      <c r="AE22" t="s">
        <v>205</v>
      </c>
      <c r="AF22" t="s">
        <v>225</v>
      </c>
      <c r="AG22" t="s">
        <v>225</v>
      </c>
      <c r="AH22" t="s">
        <v>225</v>
      </c>
      <c r="AI22" t="s">
        <v>205</v>
      </c>
      <c r="AJ22" t="s">
        <v>225</v>
      </c>
      <c r="AK22" t="s">
        <v>225</v>
      </c>
      <c r="AL22" t="s">
        <v>225</v>
      </c>
      <c r="AM22">
        <v>1</v>
      </c>
      <c r="AN22" s="8" t="s">
        <v>225</v>
      </c>
      <c r="AO22" s="8" t="s">
        <v>225</v>
      </c>
      <c r="AP22" s="8" t="s">
        <v>225</v>
      </c>
      <c r="AQ22" t="s">
        <v>205</v>
      </c>
      <c r="AS22" t="s">
        <v>3601</v>
      </c>
      <c r="AU22" t="s">
        <v>539</v>
      </c>
      <c r="AV22">
        <v>0</v>
      </c>
      <c r="AW22">
        <v>0</v>
      </c>
      <c r="AX22">
        <v>2</v>
      </c>
      <c r="AY22">
        <v>0</v>
      </c>
      <c r="AZ22">
        <v>0</v>
      </c>
      <c r="BA22">
        <v>0</v>
      </c>
      <c r="BB22">
        <v>0</v>
      </c>
      <c r="BC22">
        <v>0</v>
      </c>
      <c r="BD22">
        <v>0</v>
      </c>
      <c r="BE22">
        <v>0</v>
      </c>
      <c r="BF22">
        <v>0</v>
      </c>
      <c r="BG22">
        <v>1</v>
      </c>
      <c r="BH22">
        <v>0</v>
      </c>
      <c r="BI22">
        <v>0</v>
      </c>
      <c r="BJ22">
        <v>0</v>
      </c>
      <c r="BK22">
        <v>0</v>
      </c>
      <c r="BM22">
        <f>30-4/12</f>
        <v>29.666666666666668</v>
      </c>
      <c r="BN22">
        <v>0</v>
      </c>
      <c r="BO22">
        <v>0</v>
      </c>
      <c r="BP22">
        <v>2</v>
      </c>
      <c r="BR22" t="s">
        <v>210</v>
      </c>
      <c r="BU22" t="s">
        <v>3596</v>
      </c>
      <c r="BV22" t="s">
        <v>3600</v>
      </c>
      <c r="BW22" t="s">
        <v>3597</v>
      </c>
      <c r="BX22" t="s">
        <v>3598</v>
      </c>
      <c r="BY22" t="s">
        <v>3599</v>
      </c>
    </row>
    <row r="23" spans="1:81" x14ac:dyDescent="0.25">
      <c r="A23">
        <v>1911</v>
      </c>
      <c r="B23" t="s">
        <v>13</v>
      </c>
      <c r="C23" t="s">
        <v>69</v>
      </c>
      <c r="D23" t="s">
        <v>3603</v>
      </c>
      <c r="E23" t="s">
        <v>219</v>
      </c>
      <c r="H23">
        <v>1406</v>
      </c>
      <c r="I23" t="s">
        <v>431</v>
      </c>
      <c r="J23">
        <v>11</v>
      </c>
      <c r="K23" t="s">
        <v>3604</v>
      </c>
      <c r="L23" t="s">
        <v>236</v>
      </c>
      <c r="N23" t="s">
        <v>205</v>
      </c>
      <c r="O23" t="s">
        <v>205</v>
      </c>
      <c r="P23" t="s">
        <v>205</v>
      </c>
      <c r="Q23" t="s">
        <v>225</v>
      </c>
      <c r="T23">
        <v>3</v>
      </c>
      <c r="U23" t="s">
        <v>205</v>
      </c>
      <c r="V23" t="s">
        <v>205</v>
      </c>
      <c r="W23" t="s">
        <v>225</v>
      </c>
      <c r="X23" t="s">
        <v>205</v>
      </c>
      <c r="Y23" t="s">
        <v>225</v>
      </c>
      <c r="Z23">
        <v>5</v>
      </c>
      <c r="AA23" t="s">
        <v>225</v>
      </c>
      <c r="AB23">
        <v>1</v>
      </c>
      <c r="AC23" t="s">
        <v>225</v>
      </c>
      <c r="AD23" t="s">
        <v>225</v>
      </c>
      <c r="AE23" t="s">
        <v>225</v>
      </c>
      <c r="AF23" t="s">
        <v>225</v>
      </c>
      <c r="AG23" t="s">
        <v>225</v>
      </c>
      <c r="AH23" t="s">
        <v>225</v>
      </c>
      <c r="AI23" t="s">
        <v>205</v>
      </c>
      <c r="AJ23" t="s">
        <v>225</v>
      </c>
      <c r="AK23" t="s">
        <v>225</v>
      </c>
      <c r="AL23" t="s">
        <v>225</v>
      </c>
      <c r="AM23" t="s">
        <v>225</v>
      </c>
      <c r="AN23">
        <v>1</v>
      </c>
      <c r="AO23" t="s">
        <v>205</v>
      </c>
      <c r="AP23">
        <v>4</v>
      </c>
      <c r="AQ23" t="s">
        <v>225</v>
      </c>
      <c r="AS23" t="s">
        <v>3686</v>
      </c>
      <c r="AU23" s="1" t="s">
        <v>929</v>
      </c>
      <c r="AV23">
        <v>0</v>
      </c>
      <c r="AW23">
        <v>0</v>
      </c>
      <c r="AX23">
        <v>0</v>
      </c>
      <c r="AY23">
        <v>21</v>
      </c>
      <c r="AZ23">
        <v>0</v>
      </c>
      <c r="BA23">
        <v>1</v>
      </c>
      <c r="BB23">
        <v>1</v>
      </c>
      <c r="BC23">
        <v>0</v>
      </c>
      <c r="BD23">
        <v>14</v>
      </c>
      <c r="BE23">
        <v>2</v>
      </c>
      <c r="BF23">
        <v>0</v>
      </c>
      <c r="BG23">
        <v>0</v>
      </c>
      <c r="BH23">
        <v>0</v>
      </c>
      <c r="BI23">
        <v>0</v>
      </c>
      <c r="BJ23">
        <v>0</v>
      </c>
      <c r="BK23">
        <v>0</v>
      </c>
      <c r="BM23">
        <v>0</v>
      </c>
      <c r="BN23">
        <v>0</v>
      </c>
      <c r="BO23">
        <v>0</v>
      </c>
      <c r="BP23">
        <v>0</v>
      </c>
      <c r="CC23" t="s">
        <v>3602</v>
      </c>
    </row>
    <row r="24" spans="1:81" x14ac:dyDescent="0.25">
      <c r="A24">
        <v>1921</v>
      </c>
      <c r="B24" t="s">
        <v>19</v>
      </c>
      <c r="C24" t="s">
        <v>3687</v>
      </c>
      <c r="D24" t="s">
        <v>3603</v>
      </c>
      <c r="E24" t="s">
        <v>219</v>
      </c>
      <c r="F24" t="s">
        <v>3688</v>
      </c>
      <c r="H24">
        <v>1406</v>
      </c>
      <c r="I24" t="s">
        <v>431</v>
      </c>
      <c r="J24">
        <v>23</v>
      </c>
      <c r="L24" t="s">
        <v>236</v>
      </c>
      <c r="N24" t="s">
        <v>205</v>
      </c>
      <c r="O24" t="s">
        <v>205</v>
      </c>
      <c r="P24" t="s">
        <v>205</v>
      </c>
      <c r="Q24" t="s">
        <v>225</v>
      </c>
      <c r="S24" s="5" t="s">
        <v>204</v>
      </c>
      <c r="T24">
        <v>2</v>
      </c>
      <c r="U24">
        <v>3</v>
      </c>
      <c r="V24">
        <v>9</v>
      </c>
      <c r="W24" t="s">
        <v>225</v>
      </c>
      <c r="X24">
        <v>1</v>
      </c>
      <c r="Y24" t="s">
        <v>225</v>
      </c>
      <c r="Z24">
        <v>3</v>
      </c>
      <c r="AA24">
        <v>1</v>
      </c>
      <c r="AB24" t="s">
        <v>225</v>
      </c>
      <c r="AC24" t="s">
        <v>225</v>
      </c>
      <c r="AD24" t="s">
        <v>225</v>
      </c>
      <c r="AE24" t="s">
        <v>225</v>
      </c>
      <c r="AF24" t="s">
        <v>225</v>
      </c>
      <c r="AG24" t="s">
        <v>225</v>
      </c>
      <c r="AH24" t="s">
        <v>225</v>
      </c>
      <c r="AI24">
        <v>3</v>
      </c>
      <c r="AJ24" t="s">
        <v>225</v>
      </c>
      <c r="AK24" t="s">
        <v>225</v>
      </c>
      <c r="AL24" t="s">
        <v>225</v>
      </c>
      <c r="AM24" t="s">
        <v>225</v>
      </c>
      <c r="AN24" t="s">
        <v>225</v>
      </c>
      <c r="AO24">
        <v>3</v>
      </c>
      <c r="AP24" t="s">
        <v>225</v>
      </c>
      <c r="AQ24" t="s">
        <v>225</v>
      </c>
      <c r="AS24" t="s">
        <v>3740</v>
      </c>
      <c r="AU24" s="1" t="s">
        <v>929</v>
      </c>
      <c r="AV24">
        <v>2</v>
      </c>
      <c r="AW24">
        <v>0</v>
      </c>
      <c r="AX24">
        <v>0</v>
      </c>
      <c r="AY24">
        <v>10</v>
      </c>
      <c r="AZ24">
        <v>0</v>
      </c>
      <c r="BA24">
        <v>0</v>
      </c>
      <c r="BB24">
        <v>0</v>
      </c>
      <c r="BC24">
        <v>0</v>
      </c>
      <c r="BD24">
        <v>7</v>
      </c>
      <c r="BE24">
        <v>2</v>
      </c>
      <c r="BF24">
        <v>0</v>
      </c>
      <c r="BG24">
        <v>0</v>
      </c>
      <c r="BH24">
        <v>0</v>
      </c>
      <c r="BI24">
        <v>0</v>
      </c>
      <c r="BJ24">
        <v>0</v>
      </c>
      <c r="BK24">
        <v>0</v>
      </c>
      <c r="BM24">
        <f>14+8/12</f>
        <v>14.666666666666666</v>
      </c>
      <c r="BN24">
        <v>0</v>
      </c>
      <c r="BO24">
        <v>0</v>
      </c>
      <c r="BP24">
        <v>0</v>
      </c>
      <c r="CC24" t="s">
        <v>3602</v>
      </c>
    </row>
    <row r="25" spans="1:81" x14ac:dyDescent="0.25">
      <c r="A25">
        <v>1922</v>
      </c>
      <c r="B25" t="s">
        <v>13</v>
      </c>
      <c r="C25" t="s">
        <v>3525</v>
      </c>
      <c r="D25" t="s">
        <v>3603</v>
      </c>
      <c r="E25" t="s">
        <v>219</v>
      </c>
      <c r="H25">
        <v>1406</v>
      </c>
      <c r="I25" t="s">
        <v>431</v>
      </c>
      <c r="J25">
        <v>23</v>
      </c>
      <c r="AU25" s="1" t="s">
        <v>929</v>
      </c>
      <c r="AV25">
        <v>0</v>
      </c>
      <c r="AW25">
        <v>0</v>
      </c>
      <c r="AX25">
        <v>0</v>
      </c>
      <c r="AY25">
        <v>7</v>
      </c>
      <c r="AZ25">
        <v>0</v>
      </c>
      <c r="BA25">
        <v>0</v>
      </c>
      <c r="BB25">
        <v>0</v>
      </c>
      <c r="BC25">
        <v>0</v>
      </c>
      <c r="BD25">
        <v>0</v>
      </c>
      <c r="BE25">
        <v>0</v>
      </c>
      <c r="BF25">
        <v>0</v>
      </c>
      <c r="BG25">
        <v>0</v>
      </c>
      <c r="BH25">
        <v>0</v>
      </c>
      <c r="BI25">
        <v>0</v>
      </c>
      <c r="BJ25">
        <v>0</v>
      </c>
      <c r="BK25">
        <v>0</v>
      </c>
      <c r="BM25">
        <f>2+1/12</f>
        <v>2.0833333333333335</v>
      </c>
      <c r="BN25">
        <v>0</v>
      </c>
      <c r="BO25">
        <v>0</v>
      </c>
      <c r="BP25">
        <v>0</v>
      </c>
    </row>
    <row r="26" spans="1:81" x14ac:dyDescent="0.25">
      <c r="A26">
        <v>1923</v>
      </c>
      <c r="B26" t="s">
        <v>13</v>
      </c>
      <c r="C26" t="s">
        <v>3741</v>
      </c>
      <c r="D26" t="s">
        <v>3603</v>
      </c>
      <c r="E26" t="s">
        <v>219</v>
      </c>
      <c r="H26">
        <v>1406</v>
      </c>
      <c r="I26" t="s">
        <v>431</v>
      </c>
      <c r="J26">
        <v>23</v>
      </c>
      <c r="AV26">
        <v>0</v>
      </c>
      <c r="AW26">
        <v>0</v>
      </c>
      <c r="AX26">
        <v>0</v>
      </c>
      <c r="AY26">
        <v>0</v>
      </c>
      <c r="AZ26">
        <v>0</v>
      </c>
      <c r="BA26">
        <v>0</v>
      </c>
      <c r="BB26">
        <v>0</v>
      </c>
      <c r="BC26">
        <v>0</v>
      </c>
      <c r="BD26">
        <v>0</v>
      </c>
      <c r="BE26">
        <v>0</v>
      </c>
      <c r="BF26">
        <v>0</v>
      </c>
      <c r="BG26">
        <v>0</v>
      </c>
      <c r="BH26">
        <v>0</v>
      </c>
      <c r="BI26">
        <v>0</v>
      </c>
      <c r="BJ26">
        <v>0</v>
      </c>
      <c r="BK26">
        <v>0</v>
      </c>
      <c r="BM26">
        <f>4/12</f>
        <v>0.33333333333333331</v>
      </c>
      <c r="BN26">
        <v>0</v>
      </c>
      <c r="BO26">
        <v>0</v>
      </c>
      <c r="BP26">
        <v>0</v>
      </c>
    </row>
  </sheetData>
  <autoFilter ref="A1:CC24" xr:uid="{6F587136-BF89-4134-90AC-D228832E6D88}"/>
  <pageMargins left="0.7" right="0.7" top="0.75" bottom="0.75" header="0.3" footer="0.3"/>
  <pageSetup paperSize="9" orientation="portrait" r:id="rId1"/>
  <ignoredErrors>
    <ignoredError sqref="BM18"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Répertoire</vt:lpstr>
      <vt:lpstr>Terrier</vt:lpstr>
      <vt:lpstr> TCD Possessions</vt:lpstr>
      <vt:lpstr>TCD mois</vt:lpstr>
      <vt:lpstr>Détails redevances</vt:lpstr>
      <vt:lpstr>Détail sur Possessions</vt:lpstr>
      <vt:lpstr>TCD Terrier</vt:lpstr>
      <vt:lpstr>Répartition de la population</vt:lpstr>
      <vt:lpstr>Supplément moderne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Virgile</dc:creator>
  <cp:lastModifiedBy>Virgile</cp:lastModifiedBy>
  <dcterms:created xsi:type="dcterms:W3CDTF">2019-04-07T15:29:48Z</dcterms:created>
  <dcterms:modified xsi:type="dcterms:W3CDTF">2020-04-17T11:17:18Z</dcterms:modified>
</cp:coreProperties>
</file>