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2023 йилда амалга оширил харид" sheetId="1" r:id="rId1"/>
  </sheets>
  <definedNames>
    <definedName name="_Hlk109510007" localSheetId="0">'2023 йилда амалга оширил харид'!$A$316</definedName>
    <definedName name="_Hlk111836670" localSheetId="0">'2023 йилда амалга оширил харид'!$A$5</definedName>
    <definedName name="_Hlk111907451" localSheetId="0">'2023 йилда амалга оширил харид'!$A$17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16" i="1" l="1"/>
  <c r="L315" i="1"/>
  <c r="K316" i="1"/>
  <c r="K315" i="1"/>
  <c r="K306" i="1" l="1"/>
  <c r="K305" i="1"/>
  <c r="K303" i="1"/>
  <c r="K301" i="1"/>
  <c r="K236" i="1"/>
  <c r="K228" i="1"/>
  <c r="K235" i="1"/>
  <c r="K300" i="1"/>
  <c r="K304" i="1"/>
  <c r="K296" i="1"/>
  <c r="K295" i="1"/>
  <c r="K294" i="1"/>
  <c r="K285" i="1"/>
  <c r="K245" i="1"/>
  <c r="K244" i="1"/>
  <c r="K243" i="1"/>
  <c r="K242" i="1"/>
  <c r="K241" i="1"/>
  <c r="K240" i="1"/>
  <c r="K302" i="1"/>
  <c r="K234" i="1"/>
  <c r="K299" i="1"/>
  <c r="K233" i="1"/>
  <c r="K232" i="1"/>
  <c r="K231" i="1"/>
  <c r="K229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91" i="1"/>
  <c r="K290" i="1"/>
  <c r="K208" i="1"/>
  <c r="K207" i="1"/>
  <c r="K206" i="1"/>
  <c r="K205" i="1"/>
  <c r="K204" i="1"/>
  <c r="K203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8" i="1"/>
  <c r="L49" i="1"/>
  <c r="K49" i="1"/>
  <c r="K48" i="1"/>
  <c r="L45" i="1" l="1"/>
  <c r="L44" i="1"/>
  <c r="L43" i="1"/>
  <c r="L42" i="1"/>
  <c r="L41" i="1"/>
  <c r="L40" i="1"/>
  <c r="L39" i="1"/>
  <c r="L38" i="1"/>
  <c r="L37" i="1"/>
  <c r="L36" i="1"/>
  <c r="L35" i="1"/>
  <c r="L34" i="1"/>
  <c r="K30" i="1"/>
  <c r="L33" i="1"/>
  <c r="L32" i="1"/>
  <c r="L31" i="1"/>
  <c r="L30" i="1"/>
  <c r="L29" i="1"/>
  <c r="L28" i="1"/>
  <c r="L27" i="1"/>
  <c r="L26" i="1"/>
  <c r="L25" i="1"/>
  <c r="L24" i="1"/>
  <c r="L23" i="1"/>
  <c r="L22" i="1"/>
  <c r="K197" i="1"/>
  <c r="K269" i="1"/>
  <c r="K268" i="1"/>
  <c r="K267" i="1"/>
  <c r="K266" i="1"/>
  <c r="K199" i="1"/>
  <c r="K196" i="1"/>
  <c r="K284" i="1"/>
  <c r="K195" i="1"/>
  <c r="K194" i="1"/>
  <c r="K193" i="1"/>
  <c r="K282" i="1"/>
  <c r="K186" i="1"/>
  <c r="K185" i="1"/>
  <c r="K184" i="1"/>
  <c r="K183" i="1"/>
  <c r="K182" i="1"/>
  <c r="K181" i="1"/>
  <c r="K180" i="1"/>
  <c r="K179" i="1"/>
  <c r="K178" i="1"/>
  <c r="K176" i="1"/>
  <c r="K175" i="1"/>
  <c r="K281" i="1"/>
  <c r="K280" i="1"/>
  <c r="K279" i="1" l="1"/>
  <c r="K278" i="1"/>
  <c r="K174" i="1"/>
  <c r="K276" i="1"/>
  <c r="K173" i="1"/>
  <c r="K171" i="1"/>
  <c r="K170" i="1"/>
  <c r="K169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74" i="1" l="1"/>
  <c r="K168" i="1"/>
  <c r="K275" i="1"/>
  <c r="K167" i="1"/>
  <c r="K166" i="1"/>
  <c r="K164" i="1"/>
  <c r="K163" i="1"/>
  <c r="K273" i="1" l="1"/>
  <c r="K128" i="1" l="1"/>
  <c r="K127" i="1"/>
  <c r="K126" i="1"/>
  <c r="K125" i="1"/>
  <c r="K124" i="1"/>
  <c r="K123" i="1"/>
  <c r="K122" i="1"/>
  <c r="K162" i="1"/>
  <c r="K156" i="1"/>
  <c r="K272" i="1"/>
  <c r="K271" i="1"/>
  <c r="K270" i="1"/>
  <c r="K155" i="1"/>
  <c r="K258" i="1" l="1"/>
  <c r="K252" i="1"/>
  <c r="K251" i="1"/>
  <c r="K249" i="1"/>
  <c r="K248" i="1"/>
  <c r="K104" i="1"/>
  <c r="K103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2" i="1"/>
  <c r="K81" i="1"/>
  <c r="K79" i="1"/>
  <c r="K78" i="1"/>
  <c r="K72" i="1"/>
  <c r="K71" i="1"/>
  <c r="K70" i="1"/>
  <c r="K68" i="1"/>
  <c r="K66" i="1"/>
  <c r="K65" i="1"/>
  <c r="K64" i="1"/>
</calcChain>
</file>

<file path=xl/sharedStrings.xml><?xml version="1.0" encoding="utf-8"?>
<sst xmlns="http://schemas.openxmlformats.org/spreadsheetml/2006/main" count="2035" uniqueCount="859">
  <si>
    <t>МАЪЛУМОТЛАР</t>
  </si>
  <si>
    <t>Т/р</t>
  </si>
  <si>
    <t>Буюртмачи СТИР рақами</t>
  </si>
  <si>
    <t>Категорияси</t>
  </si>
  <si>
    <t>Лот рақами</t>
  </si>
  <si>
    <t>Етказиб берувчи номи ва СТИР рақами</t>
  </si>
  <si>
    <t>Энг яхши таклифни танлаш</t>
  </si>
  <si>
    <t>Бошланғич нархни пасайтириш учун ўтказиладиган аукцион</t>
  </si>
  <si>
    <t>Электрон дўкон</t>
  </si>
  <si>
    <t xml:space="preserve">Миллий дўкон </t>
  </si>
  <si>
    <t>Маълумотлар эълон қилинаётган давр бўйича жами:</t>
  </si>
  <si>
    <t>Ҳисобот йилининг ўтган даври бўйича жами:</t>
  </si>
  <si>
    <t>113     24.03.2023</t>
  </si>
  <si>
    <r>
      <t xml:space="preserve">Харид предмети </t>
    </r>
    <r>
      <rPr>
        <i/>
        <sz val="9.5"/>
        <color theme="1"/>
        <rFont val="Calibri"/>
        <family val="2"/>
        <charset val="204"/>
        <scheme val="minor"/>
      </rPr>
      <t>(маҳсулот,иш, хизмат)</t>
    </r>
  </si>
  <si>
    <r>
      <t xml:space="preserve">Миқдори </t>
    </r>
    <r>
      <rPr>
        <i/>
        <sz val="10"/>
        <color theme="1"/>
        <rFont val="Calibri"/>
        <family val="2"/>
        <charset val="204"/>
        <scheme val="minor"/>
      </rPr>
      <t>(ўлчов бирлиги)</t>
    </r>
  </si>
  <si>
    <t>Шартнома рақами ва санаси</t>
  </si>
  <si>
    <r>
      <t>Етказиб бериш муддати</t>
    </r>
    <r>
      <rPr>
        <i/>
        <sz val="10"/>
        <color theme="1"/>
        <rFont val="Calibri"/>
        <family val="2"/>
        <charset val="204"/>
        <scheme val="minor"/>
      </rPr>
      <t xml:space="preserve"> (кун, иш куни ёки сутка)</t>
    </r>
  </si>
  <si>
    <r>
      <t>Харид бошланғич қиймати</t>
    </r>
    <r>
      <rPr>
        <i/>
        <sz val="10"/>
        <color theme="1"/>
        <rFont val="Calibri"/>
        <family val="2"/>
        <charset val="204"/>
        <scheme val="minor"/>
      </rPr>
      <t xml:space="preserve"> (минг сўмда)</t>
    </r>
  </si>
  <si>
    <r>
      <t>Харид амалга оширилган қиймат</t>
    </r>
    <r>
      <rPr>
        <i/>
        <sz val="10"/>
        <color theme="1"/>
        <rFont val="Calibri"/>
        <family val="2"/>
        <charset val="204"/>
        <scheme val="minor"/>
      </rPr>
      <t xml:space="preserve"> (минг сўмда)</t>
    </r>
  </si>
  <si>
    <t>Бюджетдан ташқари жамғарма маблағлари</t>
  </si>
  <si>
    <t>1 хизмат</t>
  </si>
  <si>
    <t>7 иш куни</t>
  </si>
  <si>
    <t>Услуги печатные и услуги по копированию звуко- и видеозаписей, а также программных средствУслуги печатные и услуги по копированию звуко- и видеозаписей, а также программных средств</t>
  </si>
  <si>
    <t>Контрольное запорно-пломбировочное устройство</t>
  </si>
  <si>
    <t>Изделия металлические готовые, кроме машин и оборудования</t>
  </si>
  <si>
    <t>108980    10.02.2023</t>
  </si>
  <si>
    <t>10 иш куни</t>
  </si>
  <si>
    <t>Бюджет маблағлари</t>
  </si>
  <si>
    <t>Планшетный компьютер</t>
  </si>
  <si>
    <t>Оборудование компьютерное, электронное и оптическое</t>
  </si>
  <si>
    <t>150 дона</t>
  </si>
  <si>
    <t>110919   16.02.2023</t>
  </si>
  <si>
    <t>20 иш куни</t>
  </si>
  <si>
    <t>Кубок наградной</t>
  </si>
  <si>
    <t>Медаль для награждения</t>
  </si>
  <si>
    <t>Телевизор</t>
  </si>
  <si>
    <t>4 дона</t>
  </si>
  <si>
    <t>991740   10.01.2023</t>
  </si>
  <si>
    <t>991746   10.01.2023</t>
  </si>
  <si>
    <t>3 иш куни</t>
  </si>
  <si>
    <t>Оборудование электрическое</t>
  </si>
  <si>
    <t>Электросоковыжималка</t>
  </si>
  <si>
    <t>Печь микроволновая</t>
  </si>
  <si>
    <t>991747    10.01.2023</t>
  </si>
  <si>
    <t>15 иш куни</t>
  </si>
  <si>
    <t>Букет из живых цветов</t>
  </si>
  <si>
    <t>1002559 18.01.2023</t>
  </si>
  <si>
    <t>1 дона</t>
  </si>
  <si>
    <t>Продукция и услуги сельского хозяйства и охоты</t>
  </si>
  <si>
    <t>1 иш куни</t>
  </si>
  <si>
    <t>1011922    22.01.2023</t>
  </si>
  <si>
    <t>36 дона</t>
  </si>
  <si>
    <t>Изделия готовые прочие</t>
  </si>
  <si>
    <t>1011923    22.01.2023</t>
  </si>
  <si>
    <t>Фоторамка</t>
  </si>
  <si>
    <t>1012005   22.01.2023</t>
  </si>
  <si>
    <t>30 дона</t>
  </si>
  <si>
    <t>Услуга по списанию, дефектовке и утилизации основных средств</t>
  </si>
  <si>
    <t>483 хизмат</t>
  </si>
  <si>
    <t>1033503   04.02.2023</t>
  </si>
  <si>
    <t>Услуги в области архитектуры и инженерно-технического проектирования, технических испытаний, исследований и анализа</t>
  </si>
  <si>
    <t>Услуга обслуживанию узлов учета тепловой энергии</t>
  </si>
  <si>
    <t>1034683    04.02.2023</t>
  </si>
  <si>
    <t>Работы строительные специализированные</t>
  </si>
  <si>
    <t>Вода питьевая упакованная</t>
  </si>
  <si>
    <t>1040522    08.02.2023</t>
  </si>
  <si>
    <t>25 дона</t>
  </si>
  <si>
    <t>5 иш куни</t>
  </si>
  <si>
    <t>Напитки</t>
  </si>
  <si>
    <t>YATT MAYUSUPOV OTAВEK SHUXRATJON O`G`LI</t>
  </si>
  <si>
    <t>1050247  11.02.2023</t>
  </si>
  <si>
    <t>Масло моторное</t>
  </si>
  <si>
    <t>1059839   15.02.2023</t>
  </si>
  <si>
    <t>12 дона</t>
  </si>
  <si>
    <t>Кокс и нефтепродукты</t>
  </si>
  <si>
    <t>Услуга подключения поддержки SSL протокола</t>
  </si>
  <si>
    <t>1076397   20.02.2023</t>
  </si>
  <si>
    <t>Услуги профессиональные, научные и технические, прочие</t>
  </si>
  <si>
    <t>1076398   20.02.2023</t>
  </si>
  <si>
    <t>1076399    20.02.2023</t>
  </si>
  <si>
    <t>1076400    20.02.2023</t>
  </si>
  <si>
    <t>Услуга по заправке и восстановление картриджей</t>
  </si>
  <si>
    <t>1085408    24.02.2023</t>
  </si>
  <si>
    <t>Услуги по ремонту компьютеров, предметов личного потребления и бытовых товаров</t>
  </si>
  <si>
    <t>Картридж для принтера</t>
  </si>
  <si>
    <t>И.П.Абдуллаев Саидмурод Саидкузи Угли</t>
  </si>
  <si>
    <t>6 дона</t>
  </si>
  <si>
    <t>1091143   26.02.2023</t>
  </si>
  <si>
    <t>Машины и оборудование, не включенные в другие группировки</t>
  </si>
  <si>
    <t>1 комп.</t>
  </si>
  <si>
    <t>1091148   26.02.2023</t>
  </si>
  <si>
    <t>2 иш куни</t>
  </si>
  <si>
    <t>Услуга организации курсов по обучению и повышению квалификации по делопроизводству на узбекском языке</t>
  </si>
  <si>
    <t>1094270    28.02.2023</t>
  </si>
  <si>
    <t>1 киши</t>
  </si>
  <si>
    <t>Услуги в области образования</t>
  </si>
  <si>
    <t>1 ой</t>
  </si>
  <si>
    <t>1109833   06.03.2023</t>
  </si>
  <si>
    <t>4 иш куни</t>
  </si>
  <si>
    <t>3 дона</t>
  </si>
  <si>
    <t>Служебное удостоверение</t>
  </si>
  <si>
    <t>1112522    09.03.2023</t>
  </si>
  <si>
    <t>300 дона</t>
  </si>
  <si>
    <t>Бумага и изделия из бумаги</t>
  </si>
  <si>
    <t>Ручка канцелярская</t>
  </si>
  <si>
    <t>1116954    09.03.2023</t>
  </si>
  <si>
    <t>100 дона</t>
  </si>
  <si>
    <t>Программное обеспечение в сфере информационных технологий</t>
  </si>
  <si>
    <t>1125871   13.03.2023</t>
  </si>
  <si>
    <t>Продукты программные и услуги по разработке программного обеспечения; консультационные и аналогичные услуги в области информационных технологий</t>
  </si>
  <si>
    <t>1134817   16.03.2023</t>
  </si>
  <si>
    <t>Лопата</t>
  </si>
  <si>
    <t>1136404    16.03.2023</t>
  </si>
  <si>
    <t>1136405    16.03.2023</t>
  </si>
  <si>
    <t>Кетмень</t>
  </si>
  <si>
    <t>1136407    16.03.2023</t>
  </si>
  <si>
    <t>20 дона</t>
  </si>
  <si>
    <t>Грабли</t>
  </si>
  <si>
    <t>1136409   16.03.2023</t>
  </si>
  <si>
    <t>Метла</t>
  </si>
  <si>
    <t>1136410    16.03.2023</t>
  </si>
  <si>
    <t>Водяной шланг</t>
  </si>
  <si>
    <t>1136412   16.03.2023</t>
  </si>
  <si>
    <t>600 метр</t>
  </si>
  <si>
    <t>Средства автотранспортные, прицепы и полуприцепы</t>
  </si>
  <si>
    <t>Тряпка для очистки поверхностей</t>
  </si>
  <si>
    <t>1136413   16.03.2023</t>
  </si>
  <si>
    <t>Текстиль и изделия текстильные</t>
  </si>
  <si>
    <t>Известь негашеная</t>
  </si>
  <si>
    <t>100 кг</t>
  </si>
  <si>
    <t>1136414  16.03.2023</t>
  </si>
  <si>
    <t>Продукты минеральные неметаллические прочие</t>
  </si>
  <si>
    <t>Щетка стеклоочистителя</t>
  </si>
  <si>
    <t>1136415    16.03.2023</t>
  </si>
  <si>
    <t>50 дона</t>
  </si>
  <si>
    <t>Топор</t>
  </si>
  <si>
    <t>10 дона</t>
  </si>
  <si>
    <t>1136417    16.03.2023</t>
  </si>
  <si>
    <t>Тяпка</t>
  </si>
  <si>
    <t>1136418   16.03.2023</t>
  </si>
  <si>
    <t>Половая тряпка</t>
  </si>
  <si>
    <t>1136419     16.03.2023</t>
  </si>
  <si>
    <t>100 метр</t>
  </si>
  <si>
    <t>Щетка для уборки</t>
  </si>
  <si>
    <t>1136420    16.03.2023</t>
  </si>
  <si>
    <t>Ведро пластмассовое</t>
  </si>
  <si>
    <t>1136423    16.03.2023</t>
  </si>
  <si>
    <t>Изделия резиновые и пластмассовые</t>
  </si>
  <si>
    <t>Веник</t>
  </si>
  <si>
    <t>ASKAROVA XAPIZAXON XXX</t>
  </si>
  <si>
    <t>1136435    16.03.2023</t>
  </si>
  <si>
    <t>60 дона</t>
  </si>
  <si>
    <t>Насадка распылитель</t>
  </si>
  <si>
    <t>1136443    16.03.2023</t>
  </si>
  <si>
    <t>1143664    19.03.2023</t>
  </si>
  <si>
    <t>Хамедорея</t>
  </si>
  <si>
    <t>1154682    26.03.2023</t>
  </si>
  <si>
    <t>Рассада Фикуса Лирата</t>
  </si>
  <si>
    <t>1154699    26.03.2023</t>
  </si>
  <si>
    <t>1154694   26.03.2023</t>
  </si>
  <si>
    <t>Антуриум</t>
  </si>
  <si>
    <t>Драцена</t>
  </si>
  <si>
    <t>Рассада Аглаонемы</t>
  </si>
  <si>
    <t>Диффенбахия</t>
  </si>
  <si>
    <t>Рассада Спатифиллум</t>
  </si>
  <si>
    <t>2 дона</t>
  </si>
  <si>
    <t>1154712   26.03.2023</t>
  </si>
  <si>
    <t>1154721 26.03.2023</t>
  </si>
  <si>
    <t>1154727 26.03.2023</t>
  </si>
  <si>
    <t>1154739 26.03.2023</t>
  </si>
  <si>
    <t>1154752 26.03.2023</t>
  </si>
  <si>
    <t>1154755 26.03.2023</t>
  </si>
  <si>
    <t>Семена газонной травы</t>
  </si>
  <si>
    <t>1165479    30.03.2023</t>
  </si>
  <si>
    <t>10 кг</t>
  </si>
  <si>
    <t>Продукция лесоводства, лесозаготовок и связанные с этим услуги</t>
  </si>
  <si>
    <t>Биогумус</t>
  </si>
  <si>
    <t>500 кг</t>
  </si>
  <si>
    <t>1165514    30.03.2023</t>
  </si>
  <si>
    <t>Вещества химические и продукты химические</t>
  </si>
  <si>
    <t>Услуга по техническому обслуживанию лифтов</t>
  </si>
  <si>
    <t>3 хизмат</t>
  </si>
  <si>
    <t>1025589    30.01.2023</t>
  </si>
  <si>
    <t>Услуги по ремонту и монтажу машин и оборудования</t>
  </si>
  <si>
    <t>3 ой</t>
  </si>
  <si>
    <t>Услуга по регистрации доменов</t>
  </si>
  <si>
    <t>1156355    27.03.2023</t>
  </si>
  <si>
    <t>Услуги в области информационных технологий</t>
  </si>
  <si>
    <t>Услуга по организации краткосрочных курсов профессионального обучения</t>
  </si>
  <si>
    <t>1169359    31.03.2023</t>
  </si>
  <si>
    <t>Полиграфическая продукция</t>
  </si>
  <si>
    <t>1110905    06.03.2023</t>
  </si>
  <si>
    <t>Услуги издательские</t>
  </si>
  <si>
    <t>1033692    04.02.2023</t>
  </si>
  <si>
    <t>200 000 дона</t>
  </si>
  <si>
    <t>MAX COMPUTERS MCHJ    ИНН: 301688417</t>
  </si>
  <si>
    <t>ЧП GOOD HOPE GROUP    ИНН: 305100299</t>
  </si>
  <si>
    <t>ЧП SHIVAKI SHOP 77    ИНН: 308330518</t>
  </si>
  <si>
    <t>YaTT XUDOYBERDIYEVA DILNOZA SHUXRATOVNA     ИНН: 544563537</t>
  </si>
  <si>
    <t>YANGIYER BREND MCHJ     ИНН: 306982910</t>
  </si>
  <si>
    <t>ЯТТ "AXTAMOV BEKZOD  UKTAMOVICH"    ИНН: 496821832</t>
  </si>
  <si>
    <t>ЯТТ Vafina Yuliya Aleksandrovna    ИНН: 498934040</t>
  </si>
  <si>
    <t>ООО AQUAMINERALE    ИНН: 307804433</t>
  </si>
  <si>
    <t>ООО PIT STOP MOTORS    ИНН: 304874476</t>
  </si>
  <si>
    <t>MCHJ ARSENAL WEBNAME    ИНН: 308708456</t>
  </si>
  <si>
    <t>Латыпова Диёра Рустамовна    ИНН: 500997185</t>
  </si>
  <si>
    <t>KADRLAR MALAKASINI OSHIRISH VA STATISTIK TADQIQOTLAR INSTI    ИНН: 200523428</t>
  </si>
  <si>
    <t>"VIRTUS SERVIS" xususiy korxonasi    ИНН: 300496198</t>
  </si>
  <si>
    <t>POWER MAX GROUP MCHJ    ИНН: 303055063</t>
  </si>
  <si>
    <t>MChJ "Agile"    ИНН: 303076955</t>
  </si>
  <si>
    <t>ЧП NARPAY BIZNES TAYANCH    ИНН: 308346433</t>
  </si>
  <si>
    <t>YaTT AXUNOV XUSHNUD KARIMJANOVICH    ИНН: 419789934</t>
  </si>
  <si>
    <t>KONTROL BIZNESS MCHJ    ИНН: 309999815</t>
  </si>
  <si>
    <t>BOON EMPIRE MCHJ    ИНН: 309186893</t>
  </si>
  <si>
    <t>INVENT DELIX    ИНН: 310056082</t>
  </si>
  <si>
    <t>ЧП G`ULOM BOBO UMIROV    ИНН: 307546636</t>
  </si>
  <si>
    <t>BENTONG XK    ИНН: 309730834</t>
  </si>
  <si>
    <t>ЯТТ ISMOILOV MAXMUDSULTON SHERMUXAMMAD O‘G‘LI    ИНН: 568070244</t>
  </si>
  <si>
    <t>KANS SHOP MCHJ    ИНН: 306089114</t>
  </si>
  <si>
    <t>SUV  STANDART  SERVIS  MCHJ    ИНН: 303476196</t>
  </si>
  <si>
    <t>"ARSENAL D" mas`uliyati cheklangan jamiyati    ИНН: 206719257</t>
  </si>
  <si>
    <t>"XT XARID 777" MCHJ    ИНН: 310057840</t>
  </si>
  <si>
    <t>OOO "PLENTIFUL PRODUCT BUSINESS"    ИНН: 306652387</t>
  </si>
  <si>
    <t>O`ZBEKISTON RESPUBLIKASI ADLIYA VAZIRLIGI QOSHIDAGI YURIST    ИНН: 201991922</t>
  </si>
  <si>
    <t>YaTT Abdulazizov M.A.    ИНН: 510011591</t>
  </si>
  <si>
    <t>MASTER-LIFT MCHJ    ИНН: 302165616</t>
  </si>
  <si>
    <t>ООО "ECO-RECYCLING"    ИНН: 307115071</t>
  </si>
  <si>
    <t>OOO "PREMIUM POLIGRAF BIZNES"    ИНН: 303018986</t>
  </si>
  <si>
    <t>ООО AL SAFI    ИНН: 306138835</t>
  </si>
  <si>
    <t>ООО MANZARALI GULLAR VA DARAXTLAR    ИНН: 305780411</t>
  </si>
  <si>
    <t xml:space="preserve">Подготовка специальных видеороликов о деятельности таможенных органов </t>
  </si>
  <si>
    <t>2       09.03.2023</t>
  </si>
  <si>
    <t>Поставка кухонных приборов</t>
  </si>
  <si>
    <t>Техническое обслуживание Чиллеров в Административного здания Таможенного комитета</t>
  </si>
  <si>
    <t>Проведения торжественного мероприятия</t>
  </si>
  <si>
    <t>9       25.05.2023</t>
  </si>
  <si>
    <t>ООО "ISHONCH TECHNO-COMFORT"                              ИНН: 309228658</t>
  </si>
  <si>
    <t>ООО RUMMAN SUPPLY                                                         ИНН: 308658456</t>
  </si>
  <si>
    <t>ООО KOLORPAK                                                                      ИНН: 205353003</t>
  </si>
  <si>
    <t>ООО "L'ideal Pictures"                                                       ИНН: 307213164</t>
  </si>
  <si>
    <t>60804              02.06.2023</t>
  </si>
  <si>
    <t>ООО GREEN TV                                                                      ИНН: 302996279</t>
  </si>
  <si>
    <t>38    05.06.2023</t>
  </si>
  <si>
    <t>Услуги по производству кинофильмов, видеофильмов и телевизионных программ, звукозаписей и изданию музыкальных записей</t>
  </si>
  <si>
    <t xml:space="preserve">Изделия металлические готовые, кроме машин и оборудования.                                                         Древесина и изделия из дерева и пробки, кроме мебели; изделия из соломки и материалов для плетения.                                                                             Изделия резиновые и пластмассовые        </t>
  </si>
  <si>
    <t>3148 дона</t>
  </si>
  <si>
    <t>5 хизмат</t>
  </si>
  <si>
    <t>150 кун</t>
  </si>
  <si>
    <t>Услуги общественных организаций</t>
  </si>
  <si>
    <t>OOO "REALTY KOLAG"
ИНН: 300656719</t>
  </si>
  <si>
    <t>ООО ASIA PACKS TRADING                                               ИНН: 306895132</t>
  </si>
  <si>
    <t>ООО NT INGENERING                                                          ИНН: 302687741</t>
  </si>
  <si>
    <t>129976    10.05.2023</t>
  </si>
  <si>
    <t>ООО BIRJA TRADE  ИНН: 307339133</t>
  </si>
  <si>
    <t>1194071 09.04.2023</t>
  </si>
  <si>
    <t>Лампа светодиодная</t>
  </si>
  <si>
    <t>"NR SYNERGY" mas`uliyati cheklangan jamiyati    ИНН: 310163457</t>
  </si>
  <si>
    <t>1194073 09.04.2023</t>
  </si>
  <si>
    <t>Смазка литиевая</t>
  </si>
  <si>
    <t>5 дона</t>
  </si>
  <si>
    <t>KANS SHOP MCHJ   ИНН: 306089114</t>
  </si>
  <si>
    <t>1194083 09.04.2023</t>
  </si>
  <si>
    <t>ФУМ-лента</t>
  </si>
  <si>
    <t>SOBIROV RUSTAM SERVICE MCHJ    ИНН: 309774043</t>
  </si>
  <si>
    <t>1194121 09.04.2023</t>
  </si>
  <si>
    <t>200 дона</t>
  </si>
  <si>
    <t>YATT. XUSANOV AZIMJON XAKIM O‘G‘LI    ИНН: 514346869</t>
  </si>
  <si>
    <t>1194129 09.04.2023</t>
  </si>
  <si>
    <t>Набивка сальниковая</t>
  </si>
  <si>
    <t>5 кг</t>
  </si>
  <si>
    <t>YaTT Abdulazizov M.A.   ИНН: 510011591</t>
  </si>
  <si>
    <t>1196922 09.04.2023</t>
  </si>
  <si>
    <t>ENERGY SR MCHJ   ИНН: 307591574</t>
  </si>
  <si>
    <t>Батареи аккумуляторные свинцовые стационарные</t>
  </si>
  <si>
    <t>1197505 09.04.2023</t>
  </si>
  <si>
    <t>384 дона</t>
  </si>
  <si>
    <t xml:space="preserve">YANGIYER BREND MCHJ     ИНН: 306982910 </t>
  </si>
  <si>
    <t>1197557 09.04.2023</t>
  </si>
  <si>
    <t>YTT UBAYDULLAYEV GULOM BOBORAXIM OGLI</t>
  </si>
  <si>
    <t>1213413 14.04.2023</t>
  </si>
  <si>
    <t>YaTT KUCHQAROV ANVARJON ADXAMJON O‘G‘LI    ИНН: 593210904</t>
  </si>
  <si>
    <t>1214082 14.04.2023</t>
  </si>
  <si>
    <t>Рассада Петунии</t>
  </si>
  <si>
    <t>3000 дона</t>
  </si>
  <si>
    <t>ООО JAUMKANS PAPER    ИНН: 308137384</t>
  </si>
  <si>
    <t>1216223 15.04.2023</t>
  </si>
  <si>
    <t>10 пачка</t>
  </si>
  <si>
    <t>Бумага для офисной техники белая</t>
  </si>
  <si>
    <t>ГУЛОМЖОН Тохиржон Шерзодбек мчж    ИНН: 300479012</t>
  </si>
  <si>
    <t>1219942 16.04.2023</t>
  </si>
  <si>
    <t>Водомер</t>
  </si>
  <si>
    <t>ООО ИИ "TOSHKENT ZENNER"   ИНН: 202877491</t>
  </si>
  <si>
    <t>1222264 17.04.2023</t>
  </si>
  <si>
    <t>Услуга по техническому обслуживанию приборов учета водомеров</t>
  </si>
  <si>
    <t>Вода природная; услуги по очистке воды и водоснабжению</t>
  </si>
  <si>
    <t>SUVO'LCHAGICHXIZMATI AJ    ИНН: 205136865</t>
  </si>
  <si>
    <t>Услуга по подготовке водомера к госпроверке</t>
  </si>
  <si>
    <t>1223025 17.04.2023</t>
  </si>
  <si>
    <t>AL-ZUBEN    ИНН: 201806739</t>
  </si>
  <si>
    <t>1223026 17.04.2023</t>
  </si>
  <si>
    <t>20 пачка</t>
  </si>
  <si>
    <t>1223027 17.04.2023</t>
  </si>
  <si>
    <t>O`ZBEKISTON RESPUBLIKASI ADLIYA VAZIRLIGI QOSHIDAGI YURIST      ИНН: 201991922</t>
  </si>
  <si>
    <t>1224371 18.04.2023</t>
  </si>
  <si>
    <t>22 хизмат</t>
  </si>
  <si>
    <t>OOO SILVER GOLD PRINT    ИНН: 302099950</t>
  </si>
  <si>
    <t>1240239 26.04.2023</t>
  </si>
  <si>
    <t>Картон хром эрзац</t>
  </si>
  <si>
    <t>200 л</t>
  </si>
  <si>
    <t>GOLD WAVE PLUS NEFT XK    ИНН: 309365994</t>
  </si>
  <si>
    <t>1254481 29.04.2023</t>
  </si>
  <si>
    <t>Услуга по брокерскому вознаграждению</t>
  </si>
  <si>
    <t>Услуги вспомогательные, связанные с услугами финансового посредничества и страхования</t>
  </si>
  <si>
    <t>СП DECOMATIC ART    ИНН: 305895505</t>
  </si>
  <si>
    <t>1268580 04.05.2023</t>
  </si>
  <si>
    <t>Услуга по изготовлению жалюзи</t>
  </si>
  <si>
    <t>26 кв.м</t>
  </si>
  <si>
    <t>AVANTA TRADE МЧЖ    ИНН: 303338478</t>
  </si>
  <si>
    <t>1268601 04.05.2023</t>
  </si>
  <si>
    <t>430 пачка</t>
  </si>
  <si>
    <t>130 пачка</t>
  </si>
  <si>
    <t>1268660 04.05.2023</t>
  </si>
  <si>
    <t>TANIQULOV JASURBEK AXTAMOVICH</t>
  </si>
  <si>
    <t>Бумага для офисной техники цветная</t>
  </si>
  <si>
    <t>1276348 06.05.2023</t>
  </si>
  <si>
    <t>5 упак</t>
  </si>
  <si>
    <t>CHARTAK BIG SERVIS    ИНН: 310071604</t>
  </si>
  <si>
    <t>1276462 06.05.2023</t>
  </si>
  <si>
    <t>Установка, переустановка и заправка кондиционера</t>
  </si>
  <si>
    <t xml:space="preserve">Латыпова Диёра Рустамовна    ИНН: 500997185 </t>
  </si>
  <si>
    <t>8 дона</t>
  </si>
  <si>
    <t>1287680 10.05.2023</t>
  </si>
  <si>
    <t>YATT "IBRAGIMOV R.R."</t>
  </si>
  <si>
    <t>1287905 10.05.2023</t>
  </si>
  <si>
    <t>"ОСИЕ БАЗИС" кичик корхонаси     ИНН: 205195184</t>
  </si>
  <si>
    <t>Костюм спортивный</t>
  </si>
  <si>
    <t>1295080 13.05.2023</t>
  </si>
  <si>
    <t>Одежда</t>
  </si>
  <si>
    <t>1302960 15.05.2023</t>
  </si>
  <si>
    <t>ООО AL TIJARA BUSINESS    ИНН: 308476675</t>
  </si>
  <si>
    <t>1350164 31.05.2023</t>
  </si>
  <si>
    <t>15 дона</t>
  </si>
  <si>
    <t>GRAND BENEFIT    ИНН: 308969891</t>
  </si>
  <si>
    <t>Медаль</t>
  </si>
  <si>
    <t>1350167 31.05.2023</t>
  </si>
  <si>
    <t>ELEKTRQUVVAT-SERVIS MCHJ    ИНН: 202367399</t>
  </si>
  <si>
    <t>2 хизмат</t>
  </si>
  <si>
    <t>Услуга по профилактическому ремонту электродвигателя</t>
  </si>
  <si>
    <t>1350178 31.05.2023</t>
  </si>
  <si>
    <t>MChJ Consulting Global Service     ИНН: 304628259</t>
  </si>
  <si>
    <t>1355724 02.06.2023</t>
  </si>
  <si>
    <t>KANSUZ MCHJ     ИНН: 305219520</t>
  </si>
  <si>
    <t>Карта флеш памяти</t>
  </si>
  <si>
    <t>1366341 05.06.2023</t>
  </si>
  <si>
    <t>40 дона</t>
  </si>
  <si>
    <t>BIRJA BUSINES MCHJ    ИНН: 309560849</t>
  </si>
  <si>
    <t>1382058 10.06.2023</t>
  </si>
  <si>
    <t>YATT Vafoqulov Shuxrat Tuymurodovich</t>
  </si>
  <si>
    <t>Комнатный увлажнитель воздуха</t>
  </si>
  <si>
    <t>1389512 13.06.2023</t>
  </si>
  <si>
    <t>AZIZBEK BAXTBEK MAHMUDJON KELAJAGI MCHJ    ИНН: 306583268</t>
  </si>
  <si>
    <t>Плита электрическая</t>
  </si>
  <si>
    <t>1389513 13.06.2023</t>
  </si>
  <si>
    <t>ООО AQUAMINERALE     ИНН: 307804433</t>
  </si>
  <si>
    <t>1392329 14.06.2023</t>
  </si>
  <si>
    <t xml:space="preserve">"JASURBEK NEW BUSINESS" MCHJ    ИНН: 309780091 </t>
  </si>
  <si>
    <t>Электрод сварочный</t>
  </si>
  <si>
    <t>1395253 15.06.2023</t>
  </si>
  <si>
    <t>20 кг</t>
  </si>
  <si>
    <t xml:space="preserve">OOO CHIANTI    ИНН: 309603302 </t>
  </si>
  <si>
    <t>Фонарь бытовой</t>
  </si>
  <si>
    <t>1395301 15.06.2023</t>
  </si>
  <si>
    <t>OBIL-QOBIL XK    ИНН: 306052216</t>
  </si>
  <si>
    <t>Удлинитель электрический</t>
  </si>
  <si>
    <t>1395376 15.06.2023</t>
  </si>
  <si>
    <t>OOO CHIANTI    ИНН: 309603302</t>
  </si>
  <si>
    <t>Круг отрезной</t>
  </si>
  <si>
    <t>1395380 15.06.2023</t>
  </si>
  <si>
    <t xml:space="preserve">BEKBOY DDD GROUP MCHJ     ИНН: 309836882 </t>
  </si>
  <si>
    <t>Набор для электрика</t>
  </si>
  <si>
    <t>1395395 15.06.2023</t>
  </si>
  <si>
    <t>10 комп.</t>
  </si>
  <si>
    <t>Сапоги резиновые формовые</t>
  </si>
  <si>
    <t>2 жуфт</t>
  </si>
  <si>
    <t>1395429 15.06.2023</t>
  </si>
  <si>
    <t>Кожа и изделия из кожи</t>
  </si>
  <si>
    <t>1395433 15.06.2023</t>
  </si>
  <si>
    <t xml:space="preserve">OOO COMFORD ECO SERVISE    ИНН: 307633204 </t>
  </si>
  <si>
    <t>Шины пневматические для легкового автомобиля</t>
  </si>
  <si>
    <t>1398513 15.06.2023</t>
  </si>
  <si>
    <t>16 дона</t>
  </si>
  <si>
    <t>GOLD WAVE PLUS NEFT XK     ИНН: 309365994</t>
  </si>
  <si>
    <t>1413043 21.06.2023</t>
  </si>
  <si>
    <t>"BRESSO" MCHJ    ИНН: 306485302</t>
  </si>
  <si>
    <t>1419493 22.06.2023</t>
  </si>
  <si>
    <t>Папка</t>
  </si>
  <si>
    <t xml:space="preserve">XK DAROMAD MUNIRA FAYZ TEXTILE    ИНН: 301848367 </t>
  </si>
  <si>
    <t>Обувь весенне-осенняя</t>
  </si>
  <si>
    <t>1433123 26.06.2023</t>
  </si>
  <si>
    <t>26 жуфт</t>
  </si>
  <si>
    <t>Обувь специальная</t>
  </si>
  <si>
    <t>16 жуфт</t>
  </si>
  <si>
    <t>1433124 26.06.2023</t>
  </si>
  <si>
    <t>1433125 26.06.2023</t>
  </si>
  <si>
    <t>SAMARQAND KABEL SAVDO MCHJ    ИНН: 301834844</t>
  </si>
  <si>
    <t>2100 м</t>
  </si>
  <si>
    <t>Кабель UTP</t>
  </si>
  <si>
    <t>1433249 26.06.2023</t>
  </si>
  <si>
    <t>1467293 13.07.2023</t>
  </si>
  <si>
    <t>1467307 13.07.2023</t>
  </si>
  <si>
    <t>1467312 13.07.2023</t>
  </si>
  <si>
    <t>1467316 13.07.2023</t>
  </si>
  <si>
    <t xml:space="preserve">ООО AQUAMINERALE    ИНН: 307804433 </t>
  </si>
  <si>
    <t>1484961 19.07.2023</t>
  </si>
  <si>
    <t>MAIN SELECTION MCHJ    ИНН: 309947903</t>
  </si>
  <si>
    <t>Холодильник автомобильный</t>
  </si>
  <si>
    <t>1513038 28.07.2023</t>
  </si>
  <si>
    <t>YTT TAJIBAYEV RAXATJAN YULDASHBAY O'G'LI</t>
  </si>
  <si>
    <t>Изолента ПВХ</t>
  </si>
  <si>
    <t>50 рул</t>
  </si>
  <si>
    <t>ЯТТ МУСУРМОНОВ АБДУРАУФ РАХМОНКУЛ ЎҒЛИ    ИНН: 607029519</t>
  </si>
  <si>
    <t>Пружина для переплета пластиковая</t>
  </si>
  <si>
    <t>15 пачка</t>
  </si>
  <si>
    <t>5 пачка</t>
  </si>
  <si>
    <t>Пленка для переплета</t>
  </si>
  <si>
    <t>ASSAABIQUUN    ИНН: 310148664</t>
  </si>
  <si>
    <t>Блокнот</t>
  </si>
  <si>
    <t>Ўзбекистон Республикаси Адлия вазирлиги    ИНН: 201122775</t>
  </si>
  <si>
    <t>Услуга по организации и проведению торжественного мероприятия</t>
  </si>
  <si>
    <t>4 хизмат</t>
  </si>
  <si>
    <t>XONOBOD LIVERSTOK FARM OK     ИНН: 310298272</t>
  </si>
  <si>
    <t>32 дона</t>
  </si>
  <si>
    <t>Аккумулятор свинцовый для запуска поршневых двигателей</t>
  </si>
  <si>
    <t>BOBUR SAM TA'MIR MCHJ    ИНН: 309954032</t>
  </si>
  <si>
    <t>Услуга по ремонту газонокосилок</t>
  </si>
  <si>
    <t>1257960     30.04.2023</t>
  </si>
  <si>
    <t>1217994    15.04.2023</t>
  </si>
  <si>
    <t>1217995    15.04.2023</t>
  </si>
  <si>
    <t>1328064     24.05.2023</t>
  </si>
  <si>
    <t>1194102     09.04.2023</t>
  </si>
  <si>
    <t>1222257     17.04.2023</t>
  </si>
  <si>
    <t>1220438     16.04.2023</t>
  </si>
  <si>
    <t>7 хизмат</t>
  </si>
  <si>
    <t>1436332 03.07.2023</t>
  </si>
  <si>
    <t>7 ой</t>
  </si>
  <si>
    <t>Услуга по профилактической работе дизель-генераторной установки</t>
  </si>
  <si>
    <t>6 хизмат</t>
  </si>
  <si>
    <t>1446498 06.07.2023</t>
  </si>
  <si>
    <t>6 ой</t>
  </si>
  <si>
    <t>FARZONDIL OK    ИНН: 309342786</t>
  </si>
  <si>
    <t>Колодка тормозная</t>
  </si>
  <si>
    <t>1509906 27.07.2023</t>
  </si>
  <si>
    <t>ООО ULGURJI SIFAT XIZMAT    ИНН: 305559185</t>
  </si>
  <si>
    <t>1509912 27.07.2023</t>
  </si>
  <si>
    <t>GOOD MECHANIC MCHJ    ИНН: 310355794</t>
  </si>
  <si>
    <t>Услуга по капитальному ремонту оборудования</t>
  </si>
  <si>
    <t>1509918 27.07.2023</t>
  </si>
  <si>
    <t>Double Pro   ИНН: 310199198</t>
  </si>
  <si>
    <t>1509920 27.07.2023</t>
  </si>
  <si>
    <t>30 иш куни</t>
  </si>
  <si>
    <t>INVENT DELIX     ИНН: 310056082</t>
  </si>
  <si>
    <t>4 бал</t>
  </si>
  <si>
    <t>Фреон</t>
  </si>
  <si>
    <t>1509932 27.07.2023</t>
  </si>
  <si>
    <t>REAL PRINT MCHJ     ИНН: 207079302</t>
  </si>
  <si>
    <t>1543253 04.08.2023</t>
  </si>
  <si>
    <t>9 хизмат</t>
  </si>
  <si>
    <t>Клей</t>
  </si>
  <si>
    <t>1543495 04.08.2023</t>
  </si>
  <si>
    <t>Услуга по чистке фасадов</t>
  </si>
  <si>
    <t>ООО SS-Clean                                                               ИНН: 310730574</t>
  </si>
  <si>
    <t>01                  29.09.2023</t>
  </si>
  <si>
    <t>Услуги по обслуживанию зданий и территорий</t>
  </si>
  <si>
    <t>Молиялаш­тириш манбаи</t>
  </si>
  <si>
    <t>ЧП AII INTER DECOR
ИНН: 306019777</t>
  </si>
  <si>
    <t>151113    15.09.2023</t>
  </si>
  <si>
    <t>"PROM-TRADE" MCHJ
ИНН: 306629065</t>
  </si>
  <si>
    <t>Выключатель автоматический на напряжение не более 1 кВ</t>
  </si>
  <si>
    <t>152780    25.09.2023</t>
  </si>
  <si>
    <t>"NR SYNERGY" MCHJ
ИНН: 310163457</t>
  </si>
  <si>
    <t>Металлы основные</t>
  </si>
  <si>
    <t>152785    25.09.2023</t>
  </si>
  <si>
    <t>Картридж для смесителя</t>
  </si>
  <si>
    <t>Сгон</t>
  </si>
  <si>
    <t>YATT "QODIROV ABDUVAQQOS ABDURAHMON O‘G‘LI"
ИНН:</t>
  </si>
  <si>
    <t>152787   25.09.2023</t>
  </si>
  <si>
    <t>Кабель питания</t>
  </si>
  <si>
    <t>200 метр</t>
  </si>
  <si>
    <t>152789   25.09.2023</t>
  </si>
  <si>
    <t>Сердечники для замков</t>
  </si>
  <si>
    <t>Смеситель на душ/ванну</t>
  </si>
  <si>
    <t>Смеситель для раковины</t>
  </si>
  <si>
    <t>Петля для дверей металлическая</t>
  </si>
  <si>
    <t>SALIT SELLER CO MCHJ
ИНН: 310624705</t>
  </si>
  <si>
    <t>152801   25.09.2023</t>
  </si>
  <si>
    <t>Кран шаровой</t>
  </si>
  <si>
    <t>152803   25.09.2023</t>
  </si>
  <si>
    <t>Краска эмаль</t>
  </si>
  <si>
    <t>30 кг</t>
  </si>
  <si>
    <t>152813   25.09.2023</t>
  </si>
  <si>
    <t>Тройник полиэтиленовый</t>
  </si>
  <si>
    <t>Изолента</t>
  </si>
  <si>
    <t>Сифон</t>
  </si>
  <si>
    <t>Муфта полипропиленовая соединительная</t>
  </si>
  <si>
    <t>Отвод пластмассовый</t>
  </si>
  <si>
    <t>Гофра</t>
  </si>
  <si>
    <t>Мобильный телефон (смартфон)</t>
  </si>
  <si>
    <t>1554020 06.08.2023</t>
  </si>
  <si>
    <t>Часы умные</t>
  </si>
  <si>
    <t>QOROVULBOZOR GLOBAL STROY SERVIS MCHJ     ИНН: 310607131</t>
  </si>
  <si>
    <t>ООО ABDULLOX ELEKTRONICS                                   ИНН: 308412572</t>
  </si>
  <si>
    <t>1554022 06.08.2023</t>
  </si>
  <si>
    <t>1554025 06.08.2023</t>
  </si>
  <si>
    <t>Ятт Ёкубжонов Абдулло</t>
  </si>
  <si>
    <t>1554032 06.08.2023</t>
  </si>
  <si>
    <t xml:space="preserve">YATT MUSTAFAYEV FURQAT AZIMBOY O'G'LI ИНН: 599200928 </t>
  </si>
  <si>
    <t>1554069 06.08.2023</t>
  </si>
  <si>
    <t>Флаги организаций и ведомств</t>
  </si>
  <si>
    <t>SHORAXMAT-FAYZ OK                                              ИНН: 302216203</t>
  </si>
  <si>
    <t>1554110 06.08.2023</t>
  </si>
  <si>
    <t>GOLD WAVE PLUS NEFT XK                                       ИНН: 309365994</t>
  </si>
  <si>
    <t>1556671 07.08.2023</t>
  </si>
  <si>
    <t>ИП "Муллажонов"</t>
  </si>
  <si>
    <t>1562651 09.08.2023</t>
  </si>
  <si>
    <t>ООО KOLORPAK                                                        ИНН: 205353003</t>
  </si>
  <si>
    <t>1564326 09.08.2023</t>
  </si>
  <si>
    <t>YTT KADIROV DILMUROD ROVSHANOVICH</t>
  </si>
  <si>
    <t>Настенное панно</t>
  </si>
  <si>
    <t>1565934 10.08.2023</t>
  </si>
  <si>
    <t xml:space="preserve"> YTT KADIROV DILMUROD ROVSHANOVICH</t>
  </si>
  <si>
    <t>1565941 10.08.2023</t>
  </si>
  <si>
    <t>Шкатулка</t>
  </si>
  <si>
    <t>1565943 10.08.2023</t>
  </si>
  <si>
    <t>Древесина и изделия из дерева и пробки, кроме мебели; изделия из соломки и материалов для плетения</t>
  </si>
  <si>
    <t>ООО "SHINING FUTURE"                                          ИНН: 300701930</t>
  </si>
  <si>
    <t>Термоусадочная пленка</t>
  </si>
  <si>
    <t>10 рул</t>
  </si>
  <si>
    <t>1569151 10.08.2023</t>
  </si>
  <si>
    <t>ЧП XOZ SHOP MARKET                                             ИНН: 307005081</t>
  </si>
  <si>
    <t>1572182 11.08.2023</t>
  </si>
  <si>
    <t>Гигиенический набор</t>
  </si>
  <si>
    <t>OOO CHIANTI                                                              ИНН: 309603302</t>
  </si>
  <si>
    <t>1581530 13.08.2023</t>
  </si>
  <si>
    <t>"CARVEN SHOP" MCHJ                                             ИНН: 310461656</t>
  </si>
  <si>
    <t>Белье постельное</t>
  </si>
  <si>
    <t>1581535 13.08.2023</t>
  </si>
  <si>
    <t>Салфетка тканая</t>
  </si>
  <si>
    <t>8 упак.</t>
  </si>
  <si>
    <t>1585142 13.08.2023</t>
  </si>
  <si>
    <t>Средства лекарственные и материалы, применяемые в медицинских целях</t>
  </si>
  <si>
    <t>Скатерть текстильная</t>
  </si>
  <si>
    <t>1585144 13.08.2023</t>
  </si>
  <si>
    <t>YATT TOJIYEVA MAFTUNA UMAR QIZI</t>
  </si>
  <si>
    <t>1588344 14.08.2023</t>
  </si>
  <si>
    <t>"VIRTUS SERVIS" xususiy korxonasi                       ИНН: 300496198</t>
  </si>
  <si>
    <t>1606403 20.08.2023</t>
  </si>
  <si>
    <t>Ролик подачи бумаги для МФУ</t>
  </si>
  <si>
    <t>1606410 20.08.2023</t>
  </si>
  <si>
    <t>1606415 20.08.2023</t>
  </si>
  <si>
    <t>ООО AQUAMINERALE                                                 ИНН: 307804433</t>
  </si>
  <si>
    <t>1611331 21.08.2023</t>
  </si>
  <si>
    <t>Услуга по ремонту и профилактика копировального аппарата</t>
  </si>
  <si>
    <t>1654344 07.09.2023</t>
  </si>
  <si>
    <t>Стекло закаленное</t>
  </si>
  <si>
    <t>"GLASS-EXPO" masuliyati cheklangan jamiyati ИНН: 206923684</t>
  </si>
  <si>
    <t>1665404 09.09.2023</t>
  </si>
  <si>
    <t>Латыпова Диёра Рустамовна                              ИНН: 500997185</t>
  </si>
  <si>
    <t>1665527 09.09.2023</t>
  </si>
  <si>
    <t>CITY-SERVICE-ORGANIZATIONS MCHJ                       ИНН: 309971194</t>
  </si>
  <si>
    <t>1665550 09.09.2023</t>
  </si>
  <si>
    <t>СП TA'MIRLASH XIZMATI                                         ИНН: 304967454</t>
  </si>
  <si>
    <t>Услуга по промывке, опрессовке и профилактике системы отопления</t>
  </si>
  <si>
    <t>1667272 10.09.2023</t>
  </si>
  <si>
    <t>ЧП LUCKRAY                                                                 ИНН: 307384332</t>
  </si>
  <si>
    <t>Насос топливный</t>
  </si>
  <si>
    <t>1699158 21.09.2023</t>
  </si>
  <si>
    <t>Ремень двигателя</t>
  </si>
  <si>
    <t>1699164 21.09.2023</t>
  </si>
  <si>
    <t>YANGIYER BREND MCHJ                                          ИНН: 306982910</t>
  </si>
  <si>
    <t>Картон для переплета</t>
  </si>
  <si>
    <t>1700119 21.09.2023</t>
  </si>
  <si>
    <t>1700120 21.09.2023</t>
  </si>
  <si>
    <t>1700251 21.09.2023</t>
  </si>
  <si>
    <t>СП DECOMATIC ART                                                   ИНН: 305895505</t>
  </si>
  <si>
    <t>1704308 22.09.2023</t>
  </si>
  <si>
    <t>Услуги персональные прочи</t>
  </si>
  <si>
    <t>44 кв.м</t>
  </si>
  <si>
    <t>FIKRLAR BULOG'I MCHJ                                           ИНН: 206773524</t>
  </si>
  <si>
    <t>Урна</t>
  </si>
  <si>
    <t>1704870 22.09.2023</t>
  </si>
  <si>
    <t>Фотобумага для офисной техники</t>
  </si>
  <si>
    <t>1717708 27.09.2023</t>
  </si>
  <si>
    <t>ООО JAUMKANS PAPER                                             ИНН: 308137384</t>
  </si>
  <si>
    <t>30 пачка</t>
  </si>
  <si>
    <t>1719650 28.09.2023</t>
  </si>
  <si>
    <t>ООО AQUAMINERALE                                             ИНН: 307804433</t>
  </si>
  <si>
    <t>1741759 07.10.2023</t>
  </si>
  <si>
    <t>1742193 07.10.2023</t>
  </si>
  <si>
    <t>YTT SAFAROV OTABEK ESHPULATOVICH</t>
  </si>
  <si>
    <t>1763715 15.10.2023</t>
  </si>
  <si>
    <t>80 м</t>
  </si>
  <si>
    <t>Шерстяная ткань</t>
  </si>
  <si>
    <t>Адаптер пластиковый для подключения системы полива</t>
  </si>
  <si>
    <t>1771530 18.10.2023</t>
  </si>
  <si>
    <t>1771532 18.10.2023</t>
  </si>
  <si>
    <t>XK TRADING VENTURE                                                ИНН: 303166677</t>
  </si>
  <si>
    <t>Хомут для трубопроводов</t>
  </si>
  <si>
    <t>1771534 18.10.2023</t>
  </si>
  <si>
    <t>1771535 18.10.2023</t>
  </si>
  <si>
    <t>SUV STANDART SERVIS MCHJ                                  ИНН: 303476196</t>
  </si>
  <si>
    <t>1754653 12.10.2023</t>
  </si>
  <si>
    <t>1763711 15.10.2023</t>
  </si>
  <si>
    <t>"OVERSETTA" mas`uliyati cheklangan jamiyati ИНН: 303203170</t>
  </si>
  <si>
    <t>1786905 23.10.2023</t>
  </si>
  <si>
    <t>MIRALIEV JA'FARALI TURSUNALI O'G'LI                    ИНН: 634467870</t>
  </si>
  <si>
    <t>1798889 27.10.2023</t>
  </si>
  <si>
    <t>"BRESSO" MCHJ                                                           ИНН: 306485302</t>
  </si>
  <si>
    <t>1803350 29.10.2023</t>
  </si>
  <si>
    <t>Услуга по установлению рыночной или иной стоимости информации</t>
  </si>
  <si>
    <t>SIFAT BAHOLASH MCHJ                                                    ИНН: 307930412</t>
  </si>
  <si>
    <t xml:space="preserve"> YANGIYER BREND MCHJ                                                   ИНН: 306982910</t>
  </si>
  <si>
    <t>MCHJ SADAF BIZNES SERVIS TOSHKENT                   ИНН: 308713238</t>
  </si>
  <si>
    <t>1431839                  25.06.2023</t>
  </si>
  <si>
    <t>Одежда специальная для защиты от неблагоприятных погодных условий</t>
  </si>
  <si>
    <t>Футболка спортивная для взрослых</t>
  </si>
  <si>
    <t>1431837                 25.06.2023</t>
  </si>
  <si>
    <t>Костюм демисезонный</t>
  </si>
  <si>
    <t>1431851              25.06.2023</t>
  </si>
  <si>
    <t>1431904               25.06.2023</t>
  </si>
  <si>
    <t>"CNC GRAND" XK                                                        ИНН: 305592219</t>
  </si>
  <si>
    <t>Сейф</t>
  </si>
  <si>
    <t>1574986                  11.08.2023</t>
  </si>
  <si>
    <t>REAL PRINT MCHJ                                                          ИНН: 207079302</t>
  </si>
  <si>
    <t>Печать</t>
  </si>
  <si>
    <t>1704726             22.09.2023</t>
  </si>
  <si>
    <t>Услуга по печатанию журнала</t>
  </si>
  <si>
    <t>ООО "MUXAMMAD POLIGRAF"                                ИНН: 303757574</t>
  </si>
  <si>
    <t>1732123                 04.10.2023</t>
  </si>
  <si>
    <t>Услуги печатные и услуги по копированию звуко- и видеозаписей, а также программных средств</t>
  </si>
  <si>
    <t>1737140             06.10.2023</t>
  </si>
  <si>
    <t>25 хизмат</t>
  </si>
  <si>
    <t>12 дона</t>
  </si>
  <si>
    <t>Изготовление свециального книжного альбома "Шаффофлик замирида иқтисодий хавфсизлик" (I-II том) тиража: по 2000 дона</t>
  </si>
  <si>
    <t>Розетка донаепсельная бытового назначения</t>
  </si>
  <si>
    <t>20 дона</t>
  </si>
  <si>
    <t>1 дона</t>
  </si>
  <si>
    <t>36 дона</t>
  </si>
  <si>
    <t>Крондонаейн настенный для телевизора</t>
  </si>
  <si>
    <t>2 дона</t>
  </si>
  <si>
    <t>170 дона</t>
  </si>
  <si>
    <t>315 дона</t>
  </si>
  <si>
    <t>Услуга по изготовлению печатей и донаампов</t>
  </si>
  <si>
    <t>10 дона</t>
  </si>
  <si>
    <t>42 дона</t>
  </si>
  <si>
    <t>Услуга по установке донаор</t>
  </si>
  <si>
    <t>30 комп.</t>
  </si>
  <si>
    <t>Халат медицинский в комп.екте</t>
  </si>
  <si>
    <t>1 пачка</t>
  </si>
  <si>
    <t>16 комп.</t>
  </si>
  <si>
    <t>26 комп.</t>
  </si>
  <si>
    <t>ООО UNIVERSAL COMMERCE                                 ИНН: 305804348</t>
  </si>
  <si>
    <t>1694669              20.09.2023</t>
  </si>
  <si>
    <t>Божхона қўмитаси томонидан 2023 йилда амалга оширилган давлат харидлари тўғрисида</t>
  </si>
  <si>
    <t>Услуга по обслуживанию котельного оборудования</t>
  </si>
  <si>
    <t>03773                  12.10.2023</t>
  </si>
  <si>
    <t>"ISHONCH TECHNO-COMFORT"                                ИНН: 309228658</t>
  </si>
  <si>
    <t>Мебель</t>
  </si>
  <si>
    <t>Шкаф для одежды из ДСП</t>
  </si>
  <si>
    <t>61 дона</t>
  </si>
  <si>
    <t>Скамейка декоративная</t>
  </si>
  <si>
    <t>11 дона</t>
  </si>
  <si>
    <t>59                  18.12.2023</t>
  </si>
  <si>
    <t>ZABARDAST MEBEL MCHJ                                                               ИНН: 301414091</t>
  </si>
  <si>
    <t>FEDEEX MCHJ                                                                          ИНН: 310929103</t>
  </si>
  <si>
    <t>179873 21.12.2023</t>
  </si>
  <si>
    <t>80 дона</t>
  </si>
  <si>
    <t>400 000 дона</t>
  </si>
  <si>
    <t>OOO "STAR INSTRUMENT"
ИНН: 207149475</t>
  </si>
  <si>
    <t>174421           12.12.2023</t>
  </si>
  <si>
    <t>SELL-TRADE-MSA MCHJ
ИНН: 310933946</t>
  </si>
  <si>
    <t>Перчатки резиновые хозяйственные</t>
  </si>
  <si>
    <t>80 жуфт</t>
  </si>
  <si>
    <t>179870              21.12.2023</t>
  </si>
  <si>
    <t>SUNNI CITY GROUP MCHJ
ИНН: 310854474</t>
  </si>
  <si>
    <t>179879              21.12.2023</t>
  </si>
  <si>
    <t>YaTT OLIMJONOV RAXMATULLO NABIJON O‘G‘LI
ИНН:</t>
  </si>
  <si>
    <t>Марля бытовая хлопчатобумажная</t>
  </si>
  <si>
    <t>60 метр</t>
  </si>
  <si>
    <t>179895              21.12.2023</t>
  </si>
  <si>
    <t>PROFCOUNT MCHJ
ИНН: 309830005</t>
  </si>
  <si>
    <t>179896              21.12.2023</t>
  </si>
  <si>
    <t>Мыло хозяйственное твердое</t>
  </si>
  <si>
    <t>Леска для триммера</t>
  </si>
  <si>
    <t>Чистоль</t>
  </si>
  <si>
    <t>Средство для удаления жира и нагара</t>
  </si>
  <si>
    <t>Средство для мытья посуды</t>
  </si>
  <si>
    <t>Фильтр для очистки воздуха</t>
  </si>
  <si>
    <t>1813289 02.11.2023</t>
  </si>
  <si>
    <t>OTASH SIFAT МЧЖ     ИНН: 302642845</t>
  </si>
  <si>
    <t>1814428 02.11.2023</t>
  </si>
  <si>
    <t>1817708 03.11.2023</t>
  </si>
  <si>
    <t>Круглые панно</t>
  </si>
  <si>
    <t>1817711 03.11.2023</t>
  </si>
  <si>
    <t>Сувениры с национальном орнаментом с нанесённым логотипом</t>
  </si>
  <si>
    <t>1820987 04.11.2023</t>
  </si>
  <si>
    <t>Кулер для питьевой воды</t>
  </si>
  <si>
    <t>1822555 05.11.2023</t>
  </si>
  <si>
    <t>SOUVENIR MCHJ    ИНН: 302768782</t>
  </si>
  <si>
    <t>Сувениры из металла</t>
  </si>
  <si>
    <t>1825381 06.11.2023</t>
  </si>
  <si>
    <t>1825383 06.11.2023</t>
  </si>
  <si>
    <t>1838491 10.11.2023</t>
  </si>
  <si>
    <t>1838909 10.11.2023</t>
  </si>
  <si>
    <t>ЧП Falcon line    ИНН: 306894560</t>
  </si>
  <si>
    <t>354 пачка</t>
  </si>
  <si>
    <t>1838921 10.11.2023</t>
  </si>
  <si>
    <t>YTT DALABAYEV SHAXBOZ TO‘LQIN O‘G‘LI</t>
  </si>
  <si>
    <t xml:space="preserve"> 2 комп.</t>
  </si>
  <si>
    <t>1838944 10.11.2023</t>
  </si>
  <si>
    <t>1838946 10.11.2023</t>
  </si>
  <si>
    <t>1838948 10.11.2023</t>
  </si>
  <si>
    <t>ООО STANDARD LEVEL     ИНН: 308163954</t>
  </si>
  <si>
    <t>1838950 10.11.2023</t>
  </si>
  <si>
    <t>"ZAYNABXON SAVDO FAYZ"     ИНН: 304713145</t>
  </si>
  <si>
    <t>100 пачка</t>
  </si>
  <si>
    <t>1840205 11.11.2023</t>
  </si>
  <si>
    <t>Диск тормозной</t>
  </si>
  <si>
    <t>1842798 11.11.2023</t>
  </si>
  <si>
    <t>1842799 11.11.2023</t>
  </si>
  <si>
    <t>PAYITAHT XK    ИНН: 306146834</t>
  </si>
  <si>
    <t>1842800 11.11.2023</t>
  </si>
  <si>
    <t>Стеклоочиститель автомобильный</t>
  </si>
  <si>
    <t>1842903 11.11.2023</t>
  </si>
  <si>
    <t>1848394 13.11.2023</t>
  </si>
  <si>
    <t>PROFESSIONAL SELLERS MCHJ     ИНН: 310741774</t>
  </si>
  <si>
    <t>Ремень для брюк</t>
  </si>
  <si>
    <t>1855156 16.11.2023</t>
  </si>
  <si>
    <t>1000 дона</t>
  </si>
  <si>
    <t>Выполнение научно-исследовательских и опытно-технологических работ, разработка нормативно-правовых актов</t>
  </si>
  <si>
    <t>1872090 22.11.2023</t>
  </si>
  <si>
    <t>Услуги и работы, связанные с научными исследованиями и экспериментальными разработками</t>
  </si>
  <si>
    <t>1872091 22.11.2023</t>
  </si>
  <si>
    <t>Услуга по предоставлению доступа к базе данных</t>
  </si>
  <si>
    <t>1874287 23.11.2023</t>
  </si>
  <si>
    <t>ЯККА ТАРТИБДАГИ ТАДБИРКОР      ИНН: 632527583</t>
  </si>
  <si>
    <t>Бобина</t>
  </si>
  <si>
    <t>1887314 26.11.2023</t>
  </si>
  <si>
    <t>ЧП LIDIR LAYF      ИНН: 306677442</t>
  </si>
  <si>
    <t>1894576 28.11.2023</t>
  </si>
  <si>
    <t>ELEKOM TUB MCHJ      ИНН: 310498467</t>
  </si>
  <si>
    <t>LED панель</t>
  </si>
  <si>
    <t>1904776 30.11.2023</t>
  </si>
  <si>
    <t>Услуга по изготовлению крафт конвертов с нанесением логотипа</t>
  </si>
  <si>
    <t>1919481 06.12.2023</t>
  </si>
  <si>
    <t>200 хизмат</t>
  </si>
  <si>
    <t>1 йил</t>
  </si>
  <si>
    <t>1921168 06.12.2023</t>
  </si>
  <si>
    <t>1932693 11.12.2023</t>
  </si>
  <si>
    <t>"GRAND MOTORS" masuliyati cheklangan jamiyati     ИНН: 204666326</t>
  </si>
  <si>
    <t>Кузов универсальный нулевого габарита (КУНГ)</t>
  </si>
  <si>
    <t>1932960 11.12.2023</t>
  </si>
  <si>
    <t>Плата</t>
  </si>
  <si>
    <t>1936525 12.12.2023</t>
  </si>
  <si>
    <t>RAYANNA-KONSULT KOMPANY MCHJ                ИНН: 308939629</t>
  </si>
  <si>
    <t>Бумажный пакет</t>
  </si>
  <si>
    <t>1943981 14.12.2023</t>
  </si>
  <si>
    <t>Бумага и изделия из бума</t>
  </si>
  <si>
    <t>UNIVERSAL TEXNO SIASH MCHJ                                  ИНН: 310799124</t>
  </si>
  <si>
    <t>Порошок стиральный</t>
  </si>
  <si>
    <t>1961760 17.12.2023</t>
  </si>
  <si>
    <t>YTT BOLTABAEVA DILBAROY KAMOLBAEVNA</t>
  </si>
  <si>
    <t>Мыло туалетное жидкое</t>
  </si>
  <si>
    <t>1961761 17.12.2023</t>
  </si>
  <si>
    <t>Чайник стеклянный</t>
  </si>
  <si>
    <t>1979062 21.12.2023</t>
  </si>
  <si>
    <t>Услуга по установке баннера</t>
  </si>
  <si>
    <t>1982296 22.12.2023</t>
  </si>
  <si>
    <t>9 кв. метр</t>
  </si>
  <si>
    <t>Услуга по изготовлению печатей и штампов</t>
  </si>
  <si>
    <t>1986742 23.12.2023</t>
  </si>
  <si>
    <t>560 комп.</t>
  </si>
  <si>
    <t>Новогодний подарок</t>
  </si>
  <si>
    <t>1992773 24.12.2023</t>
  </si>
  <si>
    <t>ООО ORIENT PEARL VOYAGE                                           ИНН: 304337580</t>
  </si>
  <si>
    <t xml:space="preserve"> ООО REKLAMA VA BANER XIZMATI                               ИНН:  308605054</t>
  </si>
  <si>
    <t>MCHJ FRUIT JUICE QK                                                        ИНН: 303255186</t>
  </si>
  <si>
    <t>2000026 25.12.2023</t>
  </si>
  <si>
    <t>528 дона</t>
  </si>
  <si>
    <t>ЯТТ YULDASHEV MAKSUD MARUFOVICH                    ИНН: 507374932</t>
  </si>
  <si>
    <t>Аксессуары одежды</t>
  </si>
  <si>
    <t>19 000 дона</t>
  </si>
  <si>
    <t>2 100 дона</t>
  </si>
  <si>
    <t>2000 жуфт</t>
  </si>
  <si>
    <t>ZARR-METAL OK                                                                   ИНН: 307608329</t>
  </si>
  <si>
    <t>Книга Регистрации</t>
  </si>
  <si>
    <t>640 дона</t>
  </si>
  <si>
    <t>AVTOMATIC NAZORAT TRADE XK                                  ИНН: 310859523</t>
  </si>
  <si>
    <t>Автоматический доводчик открывания и закрывания дверей</t>
  </si>
  <si>
    <t>8000 дона</t>
  </si>
  <si>
    <t>Погоны</t>
  </si>
  <si>
    <t>1847706 13.11.2023</t>
  </si>
  <si>
    <t>ООО NISHON-N                                                                   ИНН: 201869272</t>
  </si>
  <si>
    <t>2 ой</t>
  </si>
  <si>
    <t>1928539 09.12.2023</t>
  </si>
  <si>
    <t>3 150 дона</t>
  </si>
  <si>
    <t>1930254 09.12.2023</t>
  </si>
  <si>
    <t>Папка кожаная</t>
  </si>
  <si>
    <t>600 дона</t>
  </si>
  <si>
    <t>1943985 14.12.2023</t>
  </si>
  <si>
    <t>12 иш куни</t>
  </si>
  <si>
    <t>"O‘ZBEKISTON RESPUBLIKASI MARKAZIY BANKINING "DAVLAT BELGISI"" DUK                  ИНН: 306612737</t>
  </si>
  <si>
    <t>1985295 22.12.2023</t>
  </si>
  <si>
    <t>4 050 дона</t>
  </si>
  <si>
    <t>40 иш куни</t>
  </si>
  <si>
    <t>Бланки личных документов строгого учета</t>
  </si>
  <si>
    <t>1985296 22.12.2023</t>
  </si>
  <si>
    <t>680 дона</t>
  </si>
  <si>
    <t>1944011   14.12.2023</t>
  </si>
  <si>
    <t>1930255    09.12.2023</t>
  </si>
  <si>
    <t>1852276               15.11.2023</t>
  </si>
  <si>
    <t>1852279         15.11.2023</t>
  </si>
  <si>
    <t>1852280          15.11.2023</t>
  </si>
  <si>
    <t>1927148               09.12.2023</t>
  </si>
  <si>
    <t>1813287              02.11.2023</t>
  </si>
  <si>
    <t>1813288              02.11.2023</t>
  </si>
  <si>
    <t>ЯККА ТАРТИБДАГИ ТАДБИРКОР                                ИНН: 471442352</t>
  </si>
  <si>
    <t>ЯТТ Vafina Yuliya Aleksandrovna                                 ИНН: 498934040</t>
  </si>
  <si>
    <t>ООО “NEFTEGAZ GLOBAL NORM”                                  ИНН: 308422347</t>
  </si>
  <si>
    <t>MChJ " AVTOSOZLASH-KTB"                                           ИНН: 205300210</t>
  </si>
  <si>
    <t>ООО ACTION-MCFR MEDIAGURUHI                             ИНН: 306170670</t>
  </si>
  <si>
    <t>K1007034     07.12.2023</t>
  </si>
  <si>
    <t>QUNDUZ-A XK</t>
  </si>
  <si>
    <t>Полушубок овчинный нагольный</t>
  </si>
  <si>
    <t>SL1007814</t>
  </si>
  <si>
    <t>TOJIR PRIMA SERVIS MCHJ</t>
  </si>
  <si>
    <t>INDERA ZVEZDA TEX OK</t>
  </si>
  <si>
    <t>K1007544      15.12.2023</t>
  </si>
  <si>
    <t>SL1008369</t>
  </si>
  <si>
    <t>SL1008367</t>
  </si>
  <si>
    <t>SL1008373</t>
  </si>
  <si>
    <t>SL1008371</t>
  </si>
  <si>
    <t>SL1009655</t>
  </si>
  <si>
    <t>Ботинки мужские</t>
  </si>
  <si>
    <t>Туфли мужские</t>
  </si>
  <si>
    <t>Шапка-ушанка из каракуля, женский</t>
  </si>
  <si>
    <t>Шапка-ушанка из каракуля, мужской</t>
  </si>
  <si>
    <t>Туфли</t>
  </si>
  <si>
    <t>2300 жуфт</t>
  </si>
  <si>
    <t>4000 жуфт</t>
  </si>
  <si>
    <t>2000 дона</t>
  </si>
  <si>
    <t>300 жуфт</t>
  </si>
  <si>
    <t>Кооперация портали</t>
  </si>
  <si>
    <t>K1007545      15.12.2023</t>
  </si>
  <si>
    <t>K1007616      15.12.2023</t>
  </si>
  <si>
    <t>K1007617      15.12.2023</t>
  </si>
  <si>
    <t>Обувь, головные уборы</t>
  </si>
  <si>
    <t>Текстильные материалы и текстильные изделия</t>
  </si>
  <si>
    <t>90 иш куни</t>
  </si>
  <si>
    <t>K1008704     22.12.2023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</si>
</sst>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i/>
      <sz val="9.5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8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2" fontId="7" fillId="3" borderId="1" xfId="0" applyNumberFormat="1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right" vertical="center" wrapText="1"/>
    </xf>
    <xf numFmtId="164" fontId="4" fillId="3" borderId="1" xfId="0" applyNumberFormat="1" applyFont="1" applyFill="1" applyBorder="1" applyAlignment="1">
      <alignment horizontal="right" vertical="center" wrapText="1"/>
    </xf>
    <xf numFmtId="0" fontId="1" fillId="0" borderId="0" xfId="0" applyFont="1"/>
    <xf numFmtId="0" fontId="7" fillId="0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12" fontId="7" fillId="3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14" fontId="7" fillId="3" borderId="5" xfId="0" applyNumberFormat="1" applyFont="1" applyFill="1" applyBorder="1" applyAlignment="1">
      <alignment horizontal="center" vertical="center" wrapText="1"/>
    </xf>
    <xf numFmtId="164" fontId="7" fillId="3" borderId="5" xfId="0" applyNumberFormat="1" applyFont="1" applyFill="1" applyBorder="1" applyAlignment="1">
      <alignment horizontal="right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12" fontId="7" fillId="3" borderId="6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14" fontId="7" fillId="3" borderId="6" xfId="0" applyNumberFormat="1" applyFont="1" applyFill="1" applyBorder="1" applyAlignment="1">
      <alignment horizontal="center" vertical="center" wrapText="1"/>
    </xf>
    <xf numFmtId="164" fontId="7" fillId="3" borderId="6" xfId="0" applyNumberFormat="1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164" fontId="7" fillId="0" borderId="1" xfId="0" applyNumberFormat="1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vertical="center" wrapText="1"/>
    </xf>
    <xf numFmtId="164" fontId="7" fillId="0" borderId="1" xfId="1" applyNumberFormat="1" applyFont="1" applyFill="1" applyBorder="1" applyAlignment="1">
      <alignment horizontal="right" vertical="center" wrapText="1"/>
    </xf>
    <xf numFmtId="164" fontId="7" fillId="0" borderId="5" xfId="0" applyNumberFormat="1" applyFont="1" applyFill="1" applyBorder="1" applyAlignment="1">
      <alignment horizontal="right" vertical="center" wrapText="1"/>
    </xf>
    <xf numFmtId="164" fontId="7" fillId="0" borderId="6" xfId="0" applyNumberFormat="1" applyFont="1" applyFill="1" applyBorder="1" applyAlignment="1">
      <alignment horizontal="right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12" fontId="7" fillId="3" borderId="6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2" fontId="7" fillId="3" borderId="1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12" fontId="7" fillId="3" borderId="5" xfId="0" applyNumberFormat="1" applyFont="1" applyFill="1" applyBorder="1" applyAlignment="1">
      <alignment horizontal="center" vertical="center" wrapText="1"/>
    </xf>
    <xf numFmtId="12" fontId="7" fillId="3" borderId="7" xfId="0" applyNumberFormat="1" applyFont="1" applyFill="1" applyBorder="1" applyAlignment="1">
      <alignment horizontal="center" vertical="center" wrapText="1"/>
    </xf>
    <xf numFmtId="12" fontId="7" fillId="3" borderId="6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2" fontId="7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6"/>
  <sheetViews>
    <sheetView tabSelected="1" zoomScale="115" zoomScaleNormal="115" workbookViewId="0">
      <pane ySplit="5" topLeftCell="A6" activePane="bottomLeft" state="frozen"/>
      <selection pane="bottomLeft" activeCell="A198" sqref="A198:A245"/>
    </sheetView>
  </sheetViews>
  <sheetFormatPr defaultRowHeight="15" x14ac:dyDescent="0.25"/>
  <cols>
    <col min="1" max="1" width="5.7109375" customWidth="1"/>
    <col min="2" max="2" width="12.140625" customWidth="1"/>
    <col min="3" max="3" width="37.42578125" customWidth="1"/>
    <col min="4" max="4" width="39" customWidth="1"/>
    <col min="5" max="5" width="10.85546875" customWidth="1"/>
    <col min="6" max="6" width="18" bestFit="1" customWidth="1"/>
    <col min="7" max="7" width="20.42578125" customWidth="1"/>
    <col min="8" max="8" width="37.28515625" customWidth="1"/>
    <col min="9" max="9" width="11.28515625" customWidth="1"/>
    <col min="10" max="12" width="12.28515625" customWidth="1"/>
  </cols>
  <sheetData>
    <row r="1" spans="1:12" ht="10.5" customHeight="1" x14ac:dyDescent="0.25"/>
    <row r="2" spans="1:12" ht="17.25" x14ac:dyDescent="0.25">
      <c r="A2" s="55" t="s">
        <v>662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2" ht="17.25" x14ac:dyDescent="0.25">
      <c r="A3" s="55" t="s">
        <v>0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</row>
    <row r="5" spans="1:12" ht="63.75" x14ac:dyDescent="0.25">
      <c r="A5" s="1" t="s">
        <v>1</v>
      </c>
      <c r="B5" s="1" t="s">
        <v>2</v>
      </c>
      <c r="C5" s="1" t="s">
        <v>13</v>
      </c>
      <c r="D5" s="1" t="s">
        <v>3</v>
      </c>
      <c r="E5" s="1" t="s">
        <v>14</v>
      </c>
      <c r="F5" s="1" t="s">
        <v>4</v>
      </c>
      <c r="G5" s="1" t="s">
        <v>473</v>
      </c>
      <c r="H5" s="1" t="s">
        <v>5</v>
      </c>
      <c r="I5" s="1" t="s">
        <v>15</v>
      </c>
      <c r="J5" s="1" t="s">
        <v>16</v>
      </c>
      <c r="K5" s="1" t="s">
        <v>17</v>
      </c>
      <c r="L5" s="1" t="s">
        <v>18</v>
      </c>
    </row>
    <row r="6" spans="1:12" x14ac:dyDescent="0.25">
      <c r="A6" s="2">
        <v>1</v>
      </c>
      <c r="B6" s="2">
        <v>2</v>
      </c>
      <c r="C6" s="2">
        <v>3</v>
      </c>
      <c r="D6" s="2">
        <v>4</v>
      </c>
      <c r="E6" s="2">
        <v>5</v>
      </c>
      <c r="F6" s="2">
        <v>6</v>
      </c>
      <c r="G6" s="2">
        <v>7</v>
      </c>
      <c r="H6" s="2">
        <v>8</v>
      </c>
      <c r="I6" s="2">
        <v>9</v>
      </c>
      <c r="J6" s="2">
        <v>10</v>
      </c>
      <c r="K6" s="2">
        <v>11</v>
      </c>
      <c r="L6" s="2">
        <v>12</v>
      </c>
    </row>
    <row r="7" spans="1:12" ht="15" customHeight="1" x14ac:dyDescent="0.25">
      <c r="A7" s="56" t="s">
        <v>6</v>
      </c>
      <c r="B7" s="57"/>
      <c r="C7" s="57"/>
      <c r="D7" s="57"/>
      <c r="E7" s="57"/>
      <c r="F7" s="57"/>
      <c r="G7" s="57"/>
      <c r="H7" s="57"/>
      <c r="I7" s="57"/>
      <c r="J7" s="57"/>
      <c r="K7" s="23"/>
      <c r="L7" s="24"/>
    </row>
    <row r="8" spans="1:12" s="9" customFormat="1" ht="51" x14ac:dyDescent="0.25">
      <c r="A8" s="3">
        <v>1</v>
      </c>
      <c r="B8" s="4">
        <v>200794867</v>
      </c>
      <c r="C8" s="3" t="s">
        <v>230</v>
      </c>
      <c r="D8" s="3" t="s">
        <v>243</v>
      </c>
      <c r="E8" s="3" t="s">
        <v>20</v>
      </c>
      <c r="F8" s="5">
        <v>23120012231248</v>
      </c>
      <c r="G8" s="4" t="s">
        <v>19</v>
      </c>
      <c r="H8" s="3" t="s">
        <v>239</v>
      </c>
      <c r="I8" s="3" t="s">
        <v>231</v>
      </c>
      <c r="J8" s="3" t="s">
        <v>26</v>
      </c>
      <c r="K8" s="7">
        <v>91000</v>
      </c>
      <c r="L8" s="25">
        <v>40000</v>
      </c>
    </row>
    <row r="9" spans="1:12" ht="63.75" x14ac:dyDescent="0.25">
      <c r="A9" s="3">
        <v>2</v>
      </c>
      <c r="B9" s="4">
        <v>200794867</v>
      </c>
      <c r="C9" s="4" t="s">
        <v>642</v>
      </c>
      <c r="D9" s="3" t="s">
        <v>22</v>
      </c>
      <c r="E9" s="3" t="s">
        <v>20</v>
      </c>
      <c r="F9" s="5">
        <v>23120012234901</v>
      </c>
      <c r="G9" s="4" t="s">
        <v>19</v>
      </c>
      <c r="H9" s="4" t="s">
        <v>238</v>
      </c>
      <c r="I9" s="3" t="s">
        <v>12</v>
      </c>
      <c r="J9" s="3" t="s">
        <v>21</v>
      </c>
      <c r="K9" s="7">
        <v>1312510</v>
      </c>
      <c r="L9" s="25">
        <v>1259000</v>
      </c>
    </row>
    <row r="10" spans="1:12" ht="76.5" x14ac:dyDescent="0.25">
      <c r="A10" s="3">
        <v>3</v>
      </c>
      <c r="B10" s="4">
        <v>200794867</v>
      </c>
      <c r="C10" s="4" t="s">
        <v>232</v>
      </c>
      <c r="D10" s="3" t="s">
        <v>244</v>
      </c>
      <c r="E10" s="3" t="s">
        <v>245</v>
      </c>
      <c r="F10" s="5">
        <v>23120012255806</v>
      </c>
      <c r="G10" s="4" t="s">
        <v>19</v>
      </c>
      <c r="H10" s="4" t="s">
        <v>237</v>
      </c>
      <c r="I10" s="3" t="s">
        <v>235</v>
      </c>
      <c r="J10" s="3" t="s">
        <v>21</v>
      </c>
      <c r="K10" s="7">
        <v>87797.054999999993</v>
      </c>
      <c r="L10" s="25">
        <v>87392.204899999997</v>
      </c>
    </row>
    <row r="11" spans="1:12" ht="36" x14ac:dyDescent="0.25">
      <c r="A11" s="3">
        <v>4</v>
      </c>
      <c r="B11" s="4">
        <v>200794867</v>
      </c>
      <c r="C11" s="4" t="s">
        <v>233</v>
      </c>
      <c r="D11" s="3" t="s">
        <v>183</v>
      </c>
      <c r="E11" s="3" t="s">
        <v>246</v>
      </c>
      <c r="F11" s="5">
        <v>23120012260804</v>
      </c>
      <c r="G11" s="4" t="s">
        <v>27</v>
      </c>
      <c r="H11" s="4" t="s">
        <v>236</v>
      </c>
      <c r="I11" s="3" t="s">
        <v>240</v>
      </c>
      <c r="J11" s="3" t="s">
        <v>247</v>
      </c>
      <c r="K11" s="7">
        <v>35000</v>
      </c>
      <c r="L11" s="25">
        <v>29250</v>
      </c>
    </row>
    <row r="12" spans="1:12" ht="25.5" x14ac:dyDescent="0.25">
      <c r="A12" s="3">
        <v>5</v>
      </c>
      <c r="B12" s="4">
        <v>200794867</v>
      </c>
      <c r="C12" s="4" t="s">
        <v>234</v>
      </c>
      <c r="D12" s="3" t="s">
        <v>248</v>
      </c>
      <c r="E12" s="3" t="s">
        <v>20</v>
      </c>
      <c r="F12" s="5">
        <v>23120012262732</v>
      </c>
      <c r="G12" s="4" t="s">
        <v>19</v>
      </c>
      <c r="H12" s="4" t="s">
        <v>241</v>
      </c>
      <c r="I12" s="3" t="s">
        <v>242</v>
      </c>
      <c r="J12" s="3" t="s">
        <v>21</v>
      </c>
      <c r="K12" s="7">
        <v>585404.58299999998</v>
      </c>
      <c r="L12" s="25">
        <v>500000</v>
      </c>
    </row>
    <row r="13" spans="1:12" ht="25.5" x14ac:dyDescent="0.25">
      <c r="A13" s="3">
        <v>6</v>
      </c>
      <c r="B13" s="4">
        <v>200794867</v>
      </c>
      <c r="C13" s="4" t="s">
        <v>469</v>
      </c>
      <c r="D13" s="3" t="s">
        <v>472</v>
      </c>
      <c r="E13" s="3" t="s">
        <v>20</v>
      </c>
      <c r="F13" s="5">
        <v>23120012301119</v>
      </c>
      <c r="G13" s="4" t="s">
        <v>19</v>
      </c>
      <c r="H13" s="4" t="s">
        <v>470</v>
      </c>
      <c r="I13" s="3" t="s">
        <v>471</v>
      </c>
      <c r="J13" s="3" t="s">
        <v>21</v>
      </c>
      <c r="K13" s="7">
        <v>72514.399999999994</v>
      </c>
      <c r="L13" s="25">
        <v>48944</v>
      </c>
    </row>
    <row r="14" spans="1:12" ht="25.5" x14ac:dyDescent="0.25">
      <c r="A14" s="3">
        <v>7</v>
      </c>
      <c r="B14" s="4">
        <v>200794867</v>
      </c>
      <c r="C14" s="4" t="s">
        <v>663</v>
      </c>
      <c r="D14" s="3" t="s">
        <v>63</v>
      </c>
      <c r="E14" s="3" t="s">
        <v>181</v>
      </c>
      <c r="F14" s="5">
        <v>23120012303773</v>
      </c>
      <c r="G14" s="4" t="s">
        <v>27</v>
      </c>
      <c r="H14" s="4" t="s">
        <v>665</v>
      </c>
      <c r="I14" s="3" t="s">
        <v>664</v>
      </c>
      <c r="J14" s="3" t="s">
        <v>247</v>
      </c>
      <c r="K14" s="7">
        <v>85800</v>
      </c>
      <c r="L14" s="25">
        <v>75900</v>
      </c>
    </row>
    <row r="15" spans="1:12" x14ac:dyDescent="0.25">
      <c r="A15" s="51">
        <v>8</v>
      </c>
      <c r="B15" s="53">
        <v>200794867</v>
      </c>
      <c r="C15" s="4" t="s">
        <v>667</v>
      </c>
      <c r="D15" s="51" t="s">
        <v>666</v>
      </c>
      <c r="E15" s="3" t="s">
        <v>668</v>
      </c>
      <c r="F15" s="52">
        <v>23120012327613</v>
      </c>
      <c r="G15" s="53" t="s">
        <v>19</v>
      </c>
      <c r="H15" s="42" t="s">
        <v>672</v>
      </c>
      <c r="I15" s="45" t="s">
        <v>671</v>
      </c>
      <c r="J15" s="45" t="s">
        <v>44</v>
      </c>
      <c r="K15" s="7">
        <v>216981.06687000001</v>
      </c>
      <c r="L15" s="25">
        <v>51850</v>
      </c>
    </row>
    <row r="16" spans="1:12" x14ac:dyDescent="0.25">
      <c r="A16" s="51"/>
      <c r="B16" s="53"/>
      <c r="C16" s="4" t="s">
        <v>669</v>
      </c>
      <c r="D16" s="51"/>
      <c r="E16" s="3" t="s">
        <v>670</v>
      </c>
      <c r="F16" s="52"/>
      <c r="G16" s="53"/>
      <c r="H16" s="44"/>
      <c r="I16" s="47"/>
      <c r="J16" s="47"/>
      <c r="K16" s="7">
        <v>17053.81337</v>
      </c>
      <c r="L16" s="25">
        <v>12650</v>
      </c>
    </row>
    <row r="17" spans="1:12" ht="15" customHeight="1" x14ac:dyDescent="0.25">
      <c r="A17" s="56" t="s">
        <v>7</v>
      </c>
      <c r="B17" s="57"/>
      <c r="C17" s="57"/>
      <c r="D17" s="57"/>
      <c r="E17" s="57"/>
      <c r="F17" s="57"/>
      <c r="G17" s="57"/>
      <c r="H17" s="57"/>
      <c r="I17" s="57"/>
      <c r="J17" s="57"/>
      <c r="K17" s="23"/>
      <c r="L17" s="26"/>
    </row>
    <row r="18" spans="1:12" ht="25.5" x14ac:dyDescent="0.25">
      <c r="A18" s="3">
        <v>1</v>
      </c>
      <c r="B18" s="4">
        <v>200794867</v>
      </c>
      <c r="C18" s="3" t="s">
        <v>23</v>
      </c>
      <c r="D18" s="3" t="s">
        <v>24</v>
      </c>
      <c r="E18" s="3" t="s">
        <v>194</v>
      </c>
      <c r="F18" s="5">
        <v>23121007157947</v>
      </c>
      <c r="G18" s="3" t="s">
        <v>27</v>
      </c>
      <c r="H18" s="4" t="s">
        <v>251</v>
      </c>
      <c r="I18" s="3" t="s">
        <v>25</v>
      </c>
      <c r="J18" s="3" t="s">
        <v>26</v>
      </c>
      <c r="K18" s="7">
        <v>800000</v>
      </c>
      <c r="L18" s="25">
        <v>544000</v>
      </c>
    </row>
    <row r="19" spans="1:12" ht="25.5" x14ac:dyDescent="0.25">
      <c r="A19" s="3">
        <v>2</v>
      </c>
      <c r="B19" s="4">
        <v>200794867</v>
      </c>
      <c r="C19" s="4" t="s">
        <v>28</v>
      </c>
      <c r="D19" s="3" t="s">
        <v>29</v>
      </c>
      <c r="E19" s="3" t="s">
        <v>30</v>
      </c>
      <c r="F19" s="5">
        <v>23121007159800</v>
      </c>
      <c r="G19" s="4" t="s">
        <v>19</v>
      </c>
      <c r="H19" s="4" t="s">
        <v>250</v>
      </c>
      <c r="I19" s="3" t="s">
        <v>31</v>
      </c>
      <c r="J19" s="3" t="s">
        <v>32</v>
      </c>
      <c r="K19" s="7">
        <v>1800000</v>
      </c>
      <c r="L19" s="25">
        <v>1188000</v>
      </c>
    </row>
    <row r="20" spans="1:12" ht="25.5" x14ac:dyDescent="0.25">
      <c r="A20" s="3">
        <v>3</v>
      </c>
      <c r="B20" s="4">
        <v>200794867</v>
      </c>
      <c r="C20" s="4" t="s">
        <v>23</v>
      </c>
      <c r="D20" s="3" t="s">
        <v>24</v>
      </c>
      <c r="E20" s="3" t="s">
        <v>194</v>
      </c>
      <c r="F20" s="5">
        <v>23121007180259</v>
      </c>
      <c r="G20" s="3" t="s">
        <v>27</v>
      </c>
      <c r="H20" s="4" t="s">
        <v>249</v>
      </c>
      <c r="I20" s="3" t="s">
        <v>252</v>
      </c>
      <c r="J20" s="3" t="s">
        <v>26</v>
      </c>
      <c r="K20" s="7">
        <v>800000</v>
      </c>
      <c r="L20" s="25">
        <v>368000</v>
      </c>
    </row>
    <row r="21" spans="1:12" ht="25.5" x14ac:dyDescent="0.25">
      <c r="A21" s="3">
        <v>4</v>
      </c>
      <c r="B21" s="4">
        <v>200794867</v>
      </c>
      <c r="C21" s="4" t="s">
        <v>23</v>
      </c>
      <c r="D21" s="3" t="s">
        <v>24</v>
      </c>
      <c r="E21" s="3" t="s">
        <v>194</v>
      </c>
      <c r="F21" s="5">
        <v>23121007214341</v>
      </c>
      <c r="G21" s="4" t="s">
        <v>19</v>
      </c>
      <c r="H21" s="4" t="s">
        <v>474</v>
      </c>
      <c r="I21" s="3" t="s">
        <v>475</v>
      </c>
      <c r="J21" s="3" t="s">
        <v>26</v>
      </c>
      <c r="K21" s="7">
        <v>652400</v>
      </c>
      <c r="L21" s="25">
        <v>326200</v>
      </c>
    </row>
    <row r="22" spans="1:12" ht="25.5" customHeight="1" x14ac:dyDescent="0.25">
      <c r="A22" s="45">
        <v>5</v>
      </c>
      <c r="B22" s="42">
        <v>200794867</v>
      </c>
      <c r="C22" s="4" t="s">
        <v>477</v>
      </c>
      <c r="D22" s="3" t="s">
        <v>40</v>
      </c>
      <c r="E22" s="3" t="s">
        <v>66</v>
      </c>
      <c r="F22" s="48">
        <v>23121007216908</v>
      </c>
      <c r="G22" s="45" t="s">
        <v>27</v>
      </c>
      <c r="H22" s="42" t="s">
        <v>476</v>
      </c>
      <c r="I22" s="45" t="s">
        <v>478</v>
      </c>
      <c r="J22" s="45" t="s">
        <v>21</v>
      </c>
      <c r="K22" s="7">
        <f>30*25</f>
        <v>750</v>
      </c>
      <c r="L22" s="25">
        <f>10.2*25</f>
        <v>254.99999999999997</v>
      </c>
    </row>
    <row r="23" spans="1:12" x14ac:dyDescent="0.25">
      <c r="A23" s="46"/>
      <c r="B23" s="43"/>
      <c r="C23" s="4" t="s">
        <v>643</v>
      </c>
      <c r="D23" s="3" t="s">
        <v>40</v>
      </c>
      <c r="E23" s="3" t="s">
        <v>66</v>
      </c>
      <c r="F23" s="49"/>
      <c r="G23" s="46"/>
      <c r="H23" s="43"/>
      <c r="I23" s="46"/>
      <c r="J23" s="46"/>
      <c r="K23" s="7">
        <f>30*25</f>
        <v>750</v>
      </c>
      <c r="L23" s="25">
        <f>10.2*25</f>
        <v>254.99999999999997</v>
      </c>
    </row>
    <row r="24" spans="1:12" x14ac:dyDescent="0.25">
      <c r="A24" s="46"/>
      <c r="B24" s="43"/>
      <c r="C24" s="4" t="s">
        <v>643</v>
      </c>
      <c r="D24" s="3" t="s">
        <v>40</v>
      </c>
      <c r="E24" s="3" t="s">
        <v>66</v>
      </c>
      <c r="F24" s="49"/>
      <c r="G24" s="46"/>
      <c r="H24" s="43"/>
      <c r="I24" s="46"/>
      <c r="J24" s="46"/>
      <c r="K24" s="7">
        <f>30*25</f>
        <v>750</v>
      </c>
      <c r="L24" s="25">
        <f>10.2*25</f>
        <v>254.99999999999997</v>
      </c>
    </row>
    <row r="25" spans="1:12" ht="24" x14ac:dyDescent="0.25">
      <c r="A25" s="47"/>
      <c r="B25" s="44"/>
      <c r="C25" s="4" t="s">
        <v>477</v>
      </c>
      <c r="D25" s="3" t="s">
        <v>40</v>
      </c>
      <c r="E25" s="3" t="s">
        <v>66</v>
      </c>
      <c r="F25" s="50"/>
      <c r="G25" s="47"/>
      <c r="H25" s="44"/>
      <c r="I25" s="47"/>
      <c r="J25" s="47"/>
      <c r="K25" s="7">
        <f>35*25</f>
        <v>875</v>
      </c>
      <c r="L25" s="25">
        <f>11.9*25</f>
        <v>297.5</v>
      </c>
    </row>
    <row r="26" spans="1:12" ht="25.5" customHeight="1" x14ac:dyDescent="0.25">
      <c r="A26" s="45">
        <v>6</v>
      </c>
      <c r="B26" s="42">
        <v>200794867</v>
      </c>
      <c r="C26" s="4" t="s">
        <v>482</v>
      </c>
      <c r="D26" s="3" t="s">
        <v>480</v>
      </c>
      <c r="E26" s="3" t="s">
        <v>86</v>
      </c>
      <c r="F26" s="48">
        <v>23121007216909</v>
      </c>
      <c r="G26" s="45" t="s">
        <v>27</v>
      </c>
      <c r="H26" s="42" t="s">
        <v>479</v>
      </c>
      <c r="I26" s="45" t="s">
        <v>481</v>
      </c>
      <c r="J26" s="45" t="s">
        <v>21</v>
      </c>
      <c r="K26" s="7">
        <f>6*25</f>
        <v>150</v>
      </c>
      <c r="L26" s="25">
        <f>6*18.5</f>
        <v>111</v>
      </c>
    </row>
    <row r="27" spans="1:12" x14ac:dyDescent="0.25">
      <c r="A27" s="46"/>
      <c r="B27" s="43"/>
      <c r="C27" s="4" t="s">
        <v>483</v>
      </c>
      <c r="D27" s="3" t="s">
        <v>480</v>
      </c>
      <c r="E27" s="3" t="s">
        <v>259</v>
      </c>
      <c r="F27" s="49"/>
      <c r="G27" s="46"/>
      <c r="H27" s="43"/>
      <c r="I27" s="46"/>
      <c r="J27" s="46"/>
      <c r="K27" s="7">
        <f>5*50</f>
        <v>250</v>
      </c>
      <c r="L27" s="25">
        <f>37*5</f>
        <v>185</v>
      </c>
    </row>
    <row r="28" spans="1:12" x14ac:dyDescent="0.25">
      <c r="A28" s="47"/>
      <c r="B28" s="44"/>
      <c r="C28" s="4" t="s">
        <v>482</v>
      </c>
      <c r="D28" s="3" t="s">
        <v>480</v>
      </c>
      <c r="E28" s="3" t="s">
        <v>136</v>
      </c>
      <c r="F28" s="50"/>
      <c r="G28" s="47"/>
      <c r="H28" s="44"/>
      <c r="I28" s="47"/>
      <c r="J28" s="47"/>
      <c r="K28" s="7">
        <f>10*25</f>
        <v>250</v>
      </c>
      <c r="L28" s="25">
        <f>18.5*10</f>
        <v>185</v>
      </c>
    </row>
    <row r="29" spans="1:12" ht="36" x14ac:dyDescent="0.25">
      <c r="A29" s="3">
        <v>7</v>
      </c>
      <c r="B29" s="4">
        <v>200794867</v>
      </c>
      <c r="C29" s="4" t="s">
        <v>486</v>
      </c>
      <c r="D29" s="3" t="s">
        <v>29</v>
      </c>
      <c r="E29" s="3" t="s">
        <v>487</v>
      </c>
      <c r="F29" s="5">
        <v>23121007216906</v>
      </c>
      <c r="G29" s="3" t="s">
        <v>27</v>
      </c>
      <c r="H29" s="4" t="s">
        <v>484</v>
      </c>
      <c r="I29" s="3" t="s">
        <v>485</v>
      </c>
      <c r="J29" s="3" t="s">
        <v>21</v>
      </c>
      <c r="K29" s="7">
        <f>15*200</f>
        <v>3000</v>
      </c>
      <c r="L29" s="25">
        <f>8.7*200</f>
        <v>1739.9999999999998</v>
      </c>
    </row>
    <row r="30" spans="1:12" ht="25.5" x14ac:dyDescent="0.25">
      <c r="A30" s="45">
        <v>8</v>
      </c>
      <c r="B30" s="42">
        <v>200794867</v>
      </c>
      <c r="C30" s="4" t="s">
        <v>489</v>
      </c>
      <c r="D30" s="3" t="s">
        <v>24</v>
      </c>
      <c r="E30" s="3" t="s">
        <v>116</v>
      </c>
      <c r="F30" s="48">
        <v>23121007216912</v>
      </c>
      <c r="G30" s="45" t="s">
        <v>27</v>
      </c>
      <c r="H30" s="42" t="s">
        <v>484</v>
      </c>
      <c r="I30" s="45" t="s">
        <v>488</v>
      </c>
      <c r="J30" s="45" t="s">
        <v>21</v>
      </c>
      <c r="K30" s="7">
        <f>20*50</f>
        <v>1000</v>
      </c>
      <c r="L30" s="25">
        <f>23*20</f>
        <v>460</v>
      </c>
    </row>
    <row r="31" spans="1:12" ht="25.5" x14ac:dyDescent="0.25">
      <c r="A31" s="46"/>
      <c r="B31" s="43"/>
      <c r="C31" s="4" t="s">
        <v>490</v>
      </c>
      <c r="D31" s="3" t="s">
        <v>24</v>
      </c>
      <c r="E31" s="3" t="s">
        <v>136</v>
      </c>
      <c r="F31" s="49"/>
      <c r="G31" s="46"/>
      <c r="H31" s="43"/>
      <c r="I31" s="46"/>
      <c r="J31" s="46"/>
      <c r="K31" s="7">
        <f>400*10</f>
        <v>4000</v>
      </c>
      <c r="L31" s="25">
        <f>10*184</f>
        <v>1840</v>
      </c>
    </row>
    <row r="32" spans="1:12" ht="25.5" x14ac:dyDescent="0.25">
      <c r="A32" s="46"/>
      <c r="B32" s="43"/>
      <c r="C32" s="4" t="s">
        <v>491</v>
      </c>
      <c r="D32" s="3" t="s">
        <v>24</v>
      </c>
      <c r="E32" s="3" t="s">
        <v>136</v>
      </c>
      <c r="F32" s="49"/>
      <c r="G32" s="46"/>
      <c r="H32" s="43"/>
      <c r="I32" s="46"/>
      <c r="J32" s="46"/>
      <c r="K32" s="7">
        <f>350*10</f>
        <v>3500</v>
      </c>
      <c r="L32" s="25">
        <f>161*10</f>
        <v>1610</v>
      </c>
    </row>
    <row r="33" spans="1:12" ht="25.5" x14ac:dyDescent="0.25">
      <c r="A33" s="47"/>
      <c r="B33" s="44"/>
      <c r="C33" s="4" t="s">
        <v>492</v>
      </c>
      <c r="D33" s="3" t="s">
        <v>24</v>
      </c>
      <c r="E33" s="3" t="s">
        <v>655</v>
      </c>
      <c r="F33" s="50"/>
      <c r="G33" s="47"/>
      <c r="H33" s="44"/>
      <c r="I33" s="47"/>
      <c r="J33" s="47"/>
      <c r="K33" s="7">
        <f>40*30</f>
        <v>1200</v>
      </c>
      <c r="L33" s="25">
        <f>18.4*30</f>
        <v>552</v>
      </c>
    </row>
    <row r="34" spans="1:12" ht="25.5" x14ac:dyDescent="0.25">
      <c r="A34" s="45">
        <v>9</v>
      </c>
      <c r="B34" s="42">
        <v>200794867</v>
      </c>
      <c r="C34" s="4" t="s">
        <v>495</v>
      </c>
      <c r="D34" s="3" t="s">
        <v>88</v>
      </c>
      <c r="E34" s="3" t="s">
        <v>116</v>
      </c>
      <c r="F34" s="48">
        <v>23121007216903</v>
      </c>
      <c r="G34" s="45" t="s">
        <v>27</v>
      </c>
      <c r="H34" s="42" t="s">
        <v>493</v>
      </c>
      <c r="I34" s="45" t="s">
        <v>494</v>
      </c>
      <c r="J34" s="45" t="s">
        <v>21</v>
      </c>
      <c r="K34" s="7">
        <f>400*20</f>
        <v>8000</v>
      </c>
      <c r="L34" s="25">
        <f>128*20</f>
        <v>2560</v>
      </c>
    </row>
    <row r="35" spans="1:12" ht="25.5" x14ac:dyDescent="0.25">
      <c r="A35" s="46"/>
      <c r="B35" s="43"/>
      <c r="C35" s="4" t="s">
        <v>495</v>
      </c>
      <c r="D35" s="3" t="s">
        <v>88</v>
      </c>
      <c r="E35" s="3" t="s">
        <v>259</v>
      </c>
      <c r="F35" s="49"/>
      <c r="G35" s="46"/>
      <c r="H35" s="43"/>
      <c r="I35" s="46"/>
      <c r="J35" s="46"/>
      <c r="K35" s="7">
        <f>300*5</f>
        <v>1500</v>
      </c>
      <c r="L35" s="25">
        <f>96*5</f>
        <v>480</v>
      </c>
    </row>
    <row r="36" spans="1:12" ht="25.5" x14ac:dyDescent="0.25">
      <c r="A36" s="47"/>
      <c r="B36" s="44"/>
      <c r="C36" s="4" t="s">
        <v>495</v>
      </c>
      <c r="D36" s="3" t="s">
        <v>88</v>
      </c>
      <c r="E36" s="3" t="s">
        <v>259</v>
      </c>
      <c r="F36" s="50"/>
      <c r="G36" s="47"/>
      <c r="H36" s="44"/>
      <c r="I36" s="47"/>
      <c r="J36" s="47"/>
      <c r="K36" s="7">
        <f>350*5</f>
        <v>1750</v>
      </c>
      <c r="L36" s="25">
        <f>112*5</f>
        <v>560</v>
      </c>
    </row>
    <row r="37" spans="1:12" ht="36" x14ac:dyDescent="0.25">
      <c r="A37" s="3">
        <v>10</v>
      </c>
      <c r="B37" s="4">
        <v>200794867</v>
      </c>
      <c r="C37" s="4" t="s">
        <v>497</v>
      </c>
      <c r="D37" s="3" t="s">
        <v>179</v>
      </c>
      <c r="E37" s="3" t="s">
        <v>498</v>
      </c>
      <c r="F37" s="5">
        <v>23121007216911</v>
      </c>
      <c r="G37" s="3" t="s">
        <v>27</v>
      </c>
      <c r="H37" s="4" t="s">
        <v>484</v>
      </c>
      <c r="I37" s="3" t="s">
        <v>496</v>
      </c>
      <c r="J37" s="3" t="s">
        <v>21</v>
      </c>
      <c r="K37" s="7">
        <f>70*30</f>
        <v>2100</v>
      </c>
      <c r="L37" s="25">
        <f>26.6*30</f>
        <v>798</v>
      </c>
    </row>
    <row r="38" spans="1:12" x14ac:dyDescent="0.25">
      <c r="A38" s="45">
        <v>11</v>
      </c>
      <c r="B38" s="42">
        <v>200794867</v>
      </c>
      <c r="C38" s="4" t="s">
        <v>500</v>
      </c>
      <c r="D38" s="3" t="s">
        <v>147</v>
      </c>
      <c r="E38" s="3" t="s">
        <v>259</v>
      </c>
      <c r="F38" s="48">
        <v>23121007216915</v>
      </c>
      <c r="G38" s="45" t="s">
        <v>27</v>
      </c>
      <c r="H38" s="42" t="s">
        <v>493</v>
      </c>
      <c r="I38" s="45" t="s">
        <v>499</v>
      </c>
      <c r="J38" s="45" t="s">
        <v>21</v>
      </c>
      <c r="K38" s="7">
        <f>5*250</f>
        <v>1250</v>
      </c>
      <c r="L38" s="25">
        <f>110*5</f>
        <v>550</v>
      </c>
    </row>
    <row r="39" spans="1:12" x14ac:dyDescent="0.25">
      <c r="A39" s="46"/>
      <c r="B39" s="43"/>
      <c r="C39" s="4" t="s">
        <v>501</v>
      </c>
      <c r="D39" s="3" t="s">
        <v>147</v>
      </c>
      <c r="E39" s="3" t="s">
        <v>134</v>
      </c>
      <c r="F39" s="49"/>
      <c r="G39" s="46"/>
      <c r="H39" s="43"/>
      <c r="I39" s="46"/>
      <c r="J39" s="46"/>
      <c r="K39" s="7">
        <f>4*50</f>
        <v>200</v>
      </c>
      <c r="L39" s="25">
        <f>1.76*50</f>
        <v>88</v>
      </c>
    </row>
    <row r="40" spans="1:12" x14ac:dyDescent="0.25">
      <c r="A40" s="46"/>
      <c r="B40" s="43"/>
      <c r="C40" s="4" t="s">
        <v>502</v>
      </c>
      <c r="D40" s="3" t="s">
        <v>147</v>
      </c>
      <c r="E40" s="3" t="s">
        <v>136</v>
      </c>
      <c r="F40" s="49"/>
      <c r="G40" s="46"/>
      <c r="H40" s="43"/>
      <c r="I40" s="46"/>
      <c r="J40" s="46"/>
      <c r="K40" s="7">
        <f>50*10</f>
        <v>500</v>
      </c>
      <c r="L40" s="25">
        <f>10*22</f>
        <v>220</v>
      </c>
    </row>
    <row r="41" spans="1:12" x14ac:dyDescent="0.25">
      <c r="A41" s="46"/>
      <c r="B41" s="43"/>
      <c r="C41" s="4" t="s">
        <v>502</v>
      </c>
      <c r="D41" s="3" t="s">
        <v>147</v>
      </c>
      <c r="E41" s="3" t="s">
        <v>136</v>
      </c>
      <c r="F41" s="49"/>
      <c r="G41" s="46"/>
      <c r="H41" s="43"/>
      <c r="I41" s="46"/>
      <c r="J41" s="46"/>
      <c r="K41" s="7">
        <f>10*25</f>
        <v>250</v>
      </c>
      <c r="L41" s="25">
        <f>11*10</f>
        <v>110</v>
      </c>
    </row>
    <row r="42" spans="1:12" x14ac:dyDescent="0.25">
      <c r="A42" s="46"/>
      <c r="B42" s="43"/>
      <c r="C42" s="4" t="s">
        <v>503</v>
      </c>
      <c r="D42" s="3" t="s">
        <v>147</v>
      </c>
      <c r="E42" s="3" t="s">
        <v>116</v>
      </c>
      <c r="F42" s="49"/>
      <c r="G42" s="46"/>
      <c r="H42" s="43"/>
      <c r="I42" s="46"/>
      <c r="J42" s="46"/>
      <c r="K42" s="7">
        <f>20*20</f>
        <v>400</v>
      </c>
      <c r="L42" s="25">
        <f>8.8*20</f>
        <v>176</v>
      </c>
    </row>
    <row r="43" spans="1:12" x14ac:dyDescent="0.25">
      <c r="A43" s="46"/>
      <c r="B43" s="43"/>
      <c r="C43" s="4" t="s">
        <v>504</v>
      </c>
      <c r="D43" s="3" t="s">
        <v>147</v>
      </c>
      <c r="E43" s="3" t="s">
        <v>56</v>
      </c>
      <c r="F43" s="49"/>
      <c r="G43" s="46"/>
      <c r="H43" s="43"/>
      <c r="I43" s="46"/>
      <c r="J43" s="46"/>
      <c r="K43" s="7">
        <f>20*30</f>
        <v>600</v>
      </c>
      <c r="L43" s="25">
        <f>8.8*30</f>
        <v>264</v>
      </c>
    </row>
    <row r="44" spans="1:12" x14ac:dyDescent="0.25">
      <c r="A44" s="46"/>
      <c r="B44" s="43"/>
      <c r="C44" s="4" t="s">
        <v>505</v>
      </c>
      <c r="D44" s="3" t="s">
        <v>147</v>
      </c>
      <c r="E44" s="3" t="s">
        <v>136</v>
      </c>
      <c r="F44" s="49"/>
      <c r="G44" s="46"/>
      <c r="H44" s="43"/>
      <c r="I44" s="46"/>
      <c r="J44" s="46"/>
      <c r="K44" s="7">
        <f>50*10</f>
        <v>500</v>
      </c>
      <c r="L44" s="25">
        <f>22*10</f>
        <v>220</v>
      </c>
    </row>
    <row r="45" spans="1:12" x14ac:dyDescent="0.25">
      <c r="A45" s="47"/>
      <c r="B45" s="44"/>
      <c r="C45" s="4" t="s">
        <v>500</v>
      </c>
      <c r="D45" s="3" t="s">
        <v>147</v>
      </c>
      <c r="E45" s="3" t="s">
        <v>259</v>
      </c>
      <c r="F45" s="50"/>
      <c r="G45" s="47"/>
      <c r="H45" s="44"/>
      <c r="I45" s="47"/>
      <c r="J45" s="47"/>
      <c r="K45" s="7">
        <f>5*250</f>
        <v>1250</v>
      </c>
      <c r="L45" s="25">
        <f>110*5</f>
        <v>550</v>
      </c>
    </row>
    <row r="46" spans="1:12" ht="25.5" x14ac:dyDescent="0.25">
      <c r="A46" s="34">
        <v>12</v>
      </c>
      <c r="B46" s="4">
        <v>200794867</v>
      </c>
      <c r="C46" s="4" t="s">
        <v>23</v>
      </c>
      <c r="D46" s="3" t="s">
        <v>24</v>
      </c>
      <c r="E46" s="3" t="s">
        <v>676</v>
      </c>
      <c r="F46" s="37">
        <v>23121007235627</v>
      </c>
      <c r="G46" s="3" t="s">
        <v>27</v>
      </c>
      <c r="H46" s="36" t="s">
        <v>677</v>
      </c>
      <c r="I46" s="34" t="s">
        <v>678</v>
      </c>
      <c r="J46" s="34" t="s">
        <v>32</v>
      </c>
      <c r="K46" s="7">
        <v>1239640</v>
      </c>
      <c r="L46" s="25">
        <v>991720</v>
      </c>
    </row>
    <row r="47" spans="1:12" ht="25.5" x14ac:dyDescent="0.25">
      <c r="A47" s="3">
        <v>13</v>
      </c>
      <c r="B47" s="4">
        <v>200794867</v>
      </c>
      <c r="C47" s="4" t="s">
        <v>588</v>
      </c>
      <c r="D47" s="3" t="s">
        <v>24</v>
      </c>
      <c r="E47" s="3" t="s">
        <v>675</v>
      </c>
      <c r="F47" s="5">
        <v>23121007238342</v>
      </c>
      <c r="G47" s="3" t="s">
        <v>27</v>
      </c>
      <c r="H47" s="4" t="s">
        <v>673</v>
      </c>
      <c r="I47" s="6" t="s">
        <v>674</v>
      </c>
      <c r="J47" s="3" t="s">
        <v>21</v>
      </c>
      <c r="K47" s="7">
        <v>13040</v>
      </c>
      <c r="L47" s="25">
        <v>9910.4</v>
      </c>
    </row>
    <row r="48" spans="1:12" x14ac:dyDescent="0.25">
      <c r="A48" s="45">
        <v>14</v>
      </c>
      <c r="B48" s="42">
        <v>200794867</v>
      </c>
      <c r="C48" s="4" t="s">
        <v>680</v>
      </c>
      <c r="D48" s="3" t="s">
        <v>147</v>
      </c>
      <c r="E48" s="3" t="s">
        <v>681</v>
      </c>
      <c r="F48" s="48">
        <v>23121007238339</v>
      </c>
      <c r="G48" s="45" t="s">
        <v>27</v>
      </c>
      <c r="H48" s="42" t="s">
        <v>679</v>
      </c>
      <c r="I48" s="45" t="s">
        <v>682</v>
      </c>
      <c r="J48" s="45" t="s">
        <v>21</v>
      </c>
      <c r="K48" s="7">
        <f>80*17</f>
        <v>1360</v>
      </c>
      <c r="L48" s="25">
        <f>9.52*80</f>
        <v>761.59999999999991</v>
      </c>
    </row>
    <row r="49" spans="1:12" x14ac:dyDescent="0.25">
      <c r="A49" s="47"/>
      <c r="B49" s="44"/>
      <c r="C49" s="4" t="s">
        <v>145</v>
      </c>
      <c r="D49" s="3" t="s">
        <v>147</v>
      </c>
      <c r="E49" s="3" t="s">
        <v>354</v>
      </c>
      <c r="F49" s="50"/>
      <c r="G49" s="47"/>
      <c r="H49" s="44"/>
      <c r="I49" s="47"/>
      <c r="J49" s="47"/>
      <c r="K49" s="7">
        <f>40*16</f>
        <v>640</v>
      </c>
      <c r="L49" s="25">
        <f>8.96*40</f>
        <v>358.40000000000003</v>
      </c>
    </row>
    <row r="50" spans="1:12" x14ac:dyDescent="0.25">
      <c r="A50" s="45">
        <v>15</v>
      </c>
      <c r="B50" s="42">
        <v>200794867</v>
      </c>
      <c r="C50" s="4" t="s">
        <v>143</v>
      </c>
      <c r="D50" s="3" t="s">
        <v>52</v>
      </c>
      <c r="E50" s="3" t="s">
        <v>675</v>
      </c>
      <c r="F50" s="48">
        <v>23121007238331</v>
      </c>
      <c r="G50" s="45" t="s">
        <v>19</v>
      </c>
      <c r="H50" s="42" t="s">
        <v>683</v>
      </c>
      <c r="I50" s="45" t="s">
        <v>684</v>
      </c>
      <c r="J50" s="45" t="s">
        <v>21</v>
      </c>
      <c r="K50" s="7">
        <f>30*80</f>
        <v>2400</v>
      </c>
      <c r="L50" s="25">
        <f>80*15</f>
        <v>1200</v>
      </c>
    </row>
    <row r="51" spans="1:12" x14ac:dyDescent="0.25">
      <c r="A51" s="46"/>
      <c r="B51" s="43"/>
      <c r="C51" s="4" t="s">
        <v>148</v>
      </c>
      <c r="D51" s="3" t="s">
        <v>52</v>
      </c>
      <c r="E51" s="3" t="s">
        <v>655</v>
      </c>
      <c r="F51" s="49"/>
      <c r="G51" s="46"/>
      <c r="H51" s="43"/>
      <c r="I51" s="46"/>
      <c r="J51" s="46"/>
      <c r="K51" s="7">
        <f>30*100</f>
        <v>3000</v>
      </c>
      <c r="L51" s="25">
        <f>50*30</f>
        <v>1500</v>
      </c>
    </row>
    <row r="52" spans="1:12" x14ac:dyDescent="0.25">
      <c r="A52" s="47"/>
      <c r="B52" s="44"/>
      <c r="C52" s="4" t="s">
        <v>143</v>
      </c>
      <c r="D52" s="3" t="s">
        <v>52</v>
      </c>
      <c r="E52" s="3" t="s">
        <v>354</v>
      </c>
      <c r="F52" s="50"/>
      <c r="G52" s="47"/>
      <c r="H52" s="44"/>
      <c r="I52" s="47"/>
      <c r="J52" s="47"/>
      <c r="K52" s="7">
        <f>40*81</f>
        <v>3240</v>
      </c>
      <c r="L52" s="25">
        <f>40*40.5</f>
        <v>1620</v>
      </c>
    </row>
    <row r="53" spans="1:12" x14ac:dyDescent="0.25">
      <c r="A53" s="45">
        <v>16</v>
      </c>
      <c r="B53" s="42">
        <v>200794867</v>
      </c>
      <c r="C53" s="4" t="s">
        <v>686</v>
      </c>
      <c r="D53" s="3" t="s">
        <v>127</v>
      </c>
      <c r="E53" s="3" t="s">
        <v>687</v>
      </c>
      <c r="F53" s="48">
        <v>23121007238335</v>
      </c>
      <c r="G53" s="45" t="s">
        <v>27</v>
      </c>
      <c r="H53" s="42" t="s">
        <v>685</v>
      </c>
      <c r="I53" s="45" t="s">
        <v>688</v>
      </c>
      <c r="J53" s="45" t="s">
        <v>21</v>
      </c>
      <c r="K53" s="7">
        <f>60*6.5</f>
        <v>390</v>
      </c>
      <c r="L53" s="25">
        <f>60*3.9</f>
        <v>234</v>
      </c>
    </row>
    <row r="54" spans="1:12" x14ac:dyDescent="0.25">
      <c r="A54" s="46"/>
      <c r="B54" s="43"/>
      <c r="C54" s="4" t="s">
        <v>125</v>
      </c>
      <c r="D54" s="3" t="s">
        <v>127</v>
      </c>
      <c r="E54" s="3" t="s">
        <v>354</v>
      </c>
      <c r="F54" s="49"/>
      <c r="G54" s="46"/>
      <c r="H54" s="43"/>
      <c r="I54" s="46"/>
      <c r="J54" s="46"/>
      <c r="K54" s="7">
        <f>40*65</f>
        <v>2600</v>
      </c>
      <c r="L54" s="25">
        <f>40*39</f>
        <v>1560</v>
      </c>
    </row>
    <row r="55" spans="1:12" x14ac:dyDescent="0.25">
      <c r="A55" s="47"/>
      <c r="B55" s="44"/>
      <c r="C55" s="4" t="s">
        <v>125</v>
      </c>
      <c r="D55" s="3" t="s">
        <v>127</v>
      </c>
      <c r="E55" s="3" t="s">
        <v>675</v>
      </c>
      <c r="F55" s="50"/>
      <c r="G55" s="47"/>
      <c r="H55" s="44"/>
      <c r="I55" s="47"/>
      <c r="J55" s="47"/>
      <c r="K55" s="7">
        <f>80*15</f>
        <v>1200</v>
      </c>
      <c r="L55" s="25">
        <f>80*9</f>
        <v>720</v>
      </c>
    </row>
    <row r="56" spans="1:12" x14ac:dyDescent="0.25">
      <c r="A56" s="45">
        <v>17</v>
      </c>
      <c r="B56" s="42">
        <v>200794867</v>
      </c>
      <c r="C56" s="4" t="s">
        <v>691</v>
      </c>
      <c r="D56" s="3" t="s">
        <v>179</v>
      </c>
      <c r="E56" s="3" t="s">
        <v>151</v>
      </c>
      <c r="F56" s="48">
        <v>23121007238323</v>
      </c>
      <c r="G56" s="45" t="s">
        <v>27</v>
      </c>
      <c r="H56" s="42" t="s">
        <v>689</v>
      </c>
      <c r="I56" s="45" t="s">
        <v>690</v>
      </c>
      <c r="J56" s="45" t="s">
        <v>21</v>
      </c>
      <c r="K56" s="7">
        <f>60*11.9</f>
        <v>714</v>
      </c>
      <c r="L56" s="25">
        <f>60*5.95</f>
        <v>357</v>
      </c>
    </row>
    <row r="57" spans="1:12" x14ac:dyDescent="0.25">
      <c r="A57" s="46"/>
      <c r="B57" s="43"/>
      <c r="C57" s="4" t="s">
        <v>692</v>
      </c>
      <c r="D57" s="3" t="s">
        <v>179</v>
      </c>
      <c r="E57" s="3" t="s">
        <v>36</v>
      </c>
      <c r="F57" s="49"/>
      <c r="G57" s="46"/>
      <c r="H57" s="43"/>
      <c r="I57" s="46"/>
      <c r="J57" s="46"/>
      <c r="K57" s="7">
        <f>4*83</f>
        <v>332</v>
      </c>
      <c r="L57" s="25">
        <f>4*41.5</f>
        <v>166</v>
      </c>
    </row>
    <row r="58" spans="1:12" x14ac:dyDescent="0.25">
      <c r="A58" s="46"/>
      <c r="B58" s="43"/>
      <c r="C58" s="4" t="s">
        <v>693</v>
      </c>
      <c r="D58" s="3" t="s">
        <v>179</v>
      </c>
      <c r="E58" s="3" t="s">
        <v>675</v>
      </c>
      <c r="F58" s="49"/>
      <c r="G58" s="46"/>
      <c r="H58" s="43"/>
      <c r="I58" s="46"/>
      <c r="J58" s="46"/>
      <c r="K58" s="7">
        <f>80*18</f>
        <v>1440</v>
      </c>
      <c r="L58" s="25">
        <f>80*9</f>
        <v>720</v>
      </c>
    </row>
    <row r="59" spans="1:12" x14ac:dyDescent="0.25">
      <c r="A59" s="46"/>
      <c r="B59" s="43"/>
      <c r="C59" s="4" t="s">
        <v>694</v>
      </c>
      <c r="D59" s="3" t="s">
        <v>179</v>
      </c>
      <c r="E59" s="3" t="s">
        <v>151</v>
      </c>
      <c r="F59" s="49"/>
      <c r="G59" s="46"/>
      <c r="H59" s="43"/>
      <c r="I59" s="46"/>
      <c r="J59" s="46"/>
      <c r="K59" s="7">
        <f>60*10</f>
        <v>600</v>
      </c>
      <c r="L59" s="25">
        <f>60*5</f>
        <v>300</v>
      </c>
    </row>
    <row r="60" spans="1:12" x14ac:dyDescent="0.25">
      <c r="A60" s="46"/>
      <c r="B60" s="43"/>
      <c r="C60" s="4" t="s">
        <v>694</v>
      </c>
      <c r="D60" s="3" t="s">
        <v>179</v>
      </c>
      <c r="E60" s="3" t="s">
        <v>151</v>
      </c>
      <c r="F60" s="49"/>
      <c r="G60" s="46"/>
      <c r="H60" s="43"/>
      <c r="I60" s="46"/>
      <c r="J60" s="46"/>
      <c r="K60" s="7">
        <f>60*57</f>
        <v>3420</v>
      </c>
      <c r="L60" s="25">
        <f>60*28.5</f>
        <v>1710</v>
      </c>
    </row>
    <row r="61" spans="1:12" x14ac:dyDescent="0.25">
      <c r="A61" s="47"/>
      <c r="B61" s="44"/>
      <c r="C61" s="4" t="s">
        <v>695</v>
      </c>
      <c r="D61" s="3" t="s">
        <v>179</v>
      </c>
      <c r="E61" s="3" t="s">
        <v>134</v>
      </c>
      <c r="F61" s="50"/>
      <c r="G61" s="47"/>
      <c r="H61" s="44"/>
      <c r="I61" s="47"/>
      <c r="J61" s="47"/>
      <c r="K61" s="7">
        <f>50*25</f>
        <v>1250</v>
      </c>
      <c r="L61" s="25">
        <f>50*12.5</f>
        <v>625</v>
      </c>
    </row>
    <row r="62" spans="1:12" ht="15" customHeight="1" x14ac:dyDescent="0.25">
      <c r="A62" s="56" t="s">
        <v>8</v>
      </c>
      <c r="B62" s="57"/>
      <c r="C62" s="57"/>
      <c r="D62" s="57"/>
      <c r="E62" s="57"/>
      <c r="F62" s="57"/>
      <c r="G62" s="57"/>
      <c r="H62" s="57"/>
      <c r="I62" s="57"/>
      <c r="J62" s="57"/>
      <c r="K62" s="23"/>
      <c r="L62" s="26"/>
    </row>
    <row r="63" spans="1:12" ht="25.5" x14ac:dyDescent="0.25">
      <c r="A63" s="3">
        <v>1</v>
      </c>
      <c r="B63" s="4">
        <v>200794867</v>
      </c>
      <c r="C63" s="3" t="s">
        <v>35</v>
      </c>
      <c r="D63" s="3" t="s">
        <v>29</v>
      </c>
      <c r="E63" s="3" t="s">
        <v>36</v>
      </c>
      <c r="F63" s="5">
        <v>231210081206850</v>
      </c>
      <c r="G63" s="4" t="s">
        <v>19</v>
      </c>
      <c r="H63" s="10" t="s">
        <v>195</v>
      </c>
      <c r="I63" s="3" t="s">
        <v>37</v>
      </c>
      <c r="J63" s="3" t="s">
        <v>26</v>
      </c>
      <c r="K63" s="7">
        <v>7400</v>
      </c>
      <c r="L63" s="25">
        <v>5312</v>
      </c>
    </row>
    <row r="64" spans="1:12" ht="25.5" x14ac:dyDescent="0.25">
      <c r="A64" s="3">
        <v>2</v>
      </c>
      <c r="B64" s="4">
        <v>200794867</v>
      </c>
      <c r="C64" s="3" t="s">
        <v>41</v>
      </c>
      <c r="D64" s="3" t="s">
        <v>40</v>
      </c>
      <c r="E64" s="3" t="s">
        <v>36</v>
      </c>
      <c r="F64" s="5">
        <v>231210081206852</v>
      </c>
      <c r="G64" s="4" t="s">
        <v>19</v>
      </c>
      <c r="H64" s="10" t="s">
        <v>196</v>
      </c>
      <c r="I64" s="3" t="s">
        <v>38</v>
      </c>
      <c r="J64" s="3" t="s">
        <v>39</v>
      </c>
      <c r="K64" s="7">
        <f>800*4</f>
        <v>3200</v>
      </c>
      <c r="L64" s="25">
        <v>2080</v>
      </c>
    </row>
    <row r="65" spans="1:12" ht="25.5" x14ac:dyDescent="0.25">
      <c r="A65" s="3">
        <v>3</v>
      </c>
      <c r="B65" s="4">
        <v>200794867</v>
      </c>
      <c r="C65" s="3" t="s">
        <v>42</v>
      </c>
      <c r="D65" s="3" t="s">
        <v>40</v>
      </c>
      <c r="E65" s="3" t="s">
        <v>36</v>
      </c>
      <c r="F65" s="5">
        <v>231210081206851</v>
      </c>
      <c r="G65" s="4" t="s">
        <v>19</v>
      </c>
      <c r="H65" s="10" t="s">
        <v>197</v>
      </c>
      <c r="I65" s="3" t="s">
        <v>43</v>
      </c>
      <c r="J65" s="3" t="s">
        <v>44</v>
      </c>
      <c r="K65" s="7">
        <f>1850*4</f>
        <v>7400</v>
      </c>
      <c r="L65" s="25">
        <v>4220</v>
      </c>
    </row>
    <row r="66" spans="1:12" ht="25.5" x14ac:dyDescent="0.25">
      <c r="A66" s="3">
        <v>4</v>
      </c>
      <c r="B66" s="4">
        <v>200794867</v>
      </c>
      <c r="C66" s="3" t="s">
        <v>34</v>
      </c>
      <c r="D66" s="3" t="s">
        <v>52</v>
      </c>
      <c r="E66" s="3" t="s">
        <v>51</v>
      </c>
      <c r="F66" s="5">
        <v>231210081230718</v>
      </c>
      <c r="G66" s="4" t="s">
        <v>19</v>
      </c>
      <c r="H66" s="10" t="s">
        <v>198</v>
      </c>
      <c r="I66" s="3" t="s">
        <v>50</v>
      </c>
      <c r="J66" s="6" t="s">
        <v>49</v>
      </c>
      <c r="K66" s="7">
        <f>55*36</f>
        <v>1980</v>
      </c>
      <c r="L66" s="25">
        <v>720</v>
      </c>
    </row>
    <row r="67" spans="1:12" ht="25.5" x14ac:dyDescent="0.25">
      <c r="A67" s="3">
        <v>5</v>
      </c>
      <c r="B67" s="4">
        <v>200794867</v>
      </c>
      <c r="C67" s="3" t="s">
        <v>33</v>
      </c>
      <c r="D67" s="3" t="s">
        <v>24</v>
      </c>
      <c r="E67" s="3" t="s">
        <v>47</v>
      </c>
      <c r="F67" s="5">
        <v>231210081230719</v>
      </c>
      <c r="G67" s="4" t="s">
        <v>19</v>
      </c>
      <c r="H67" s="10" t="s">
        <v>198</v>
      </c>
      <c r="I67" s="3" t="s">
        <v>53</v>
      </c>
      <c r="J67" s="6" t="s">
        <v>49</v>
      </c>
      <c r="K67" s="7">
        <v>1987</v>
      </c>
      <c r="L67" s="25">
        <v>1550</v>
      </c>
    </row>
    <row r="68" spans="1:12" ht="25.5" x14ac:dyDescent="0.25">
      <c r="A68" s="3">
        <v>6</v>
      </c>
      <c r="B68" s="4">
        <v>200794867</v>
      </c>
      <c r="C68" s="3" t="s">
        <v>54</v>
      </c>
      <c r="D68" s="3" t="s">
        <v>24</v>
      </c>
      <c r="E68" s="3" t="s">
        <v>56</v>
      </c>
      <c r="F68" s="5">
        <v>231210081230842</v>
      </c>
      <c r="G68" s="4" t="s">
        <v>19</v>
      </c>
      <c r="H68" s="10" t="s">
        <v>199</v>
      </c>
      <c r="I68" s="3" t="s">
        <v>55</v>
      </c>
      <c r="J68" s="3" t="s">
        <v>21</v>
      </c>
      <c r="K68" s="7">
        <f>16.5*30</f>
        <v>495</v>
      </c>
      <c r="L68" s="25">
        <v>339.99</v>
      </c>
    </row>
    <row r="69" spans="1:12" ht="25.5" x14ac:dyDescent="0.25">
      <c r="A69" s="3">
        <v>7</v>
      </c>
      <c r="B69" s="4">
        <v>200794867</v>
      </c>
      <c r="C69" s="3" t="s">
        <v>61</v>
      </c>
      <c r="D69" s="3" t="s">
        <v>63</v>
      </c>
      <c r="E69" s="3" t="s">
        <v>20</v>
      </c>
      <c r="F69" s="5">
        <v>231210081257294</v>
      </c>
      <c r="G69" s="4" t="s">
        <v>19</v>
      </c>
      <c r="H69" s="10" t="s">
        <v>200</v>
      </c>
      <c r="I69" s="3" t="s">
        <v>62</v>
      </c>
      <c r="J69" s="3" t="s">
        <v>39</v>
      </c>
      <c r="K69" s="7">
        <v>15000</v>
      </c>
      <c r="L69" s="25">
        <v>14580</v>
      </c>
    </row>
    <row r="70" spans="1:12" ht="25.5" x14ac:dyDescent="0.25">
      <c r="A70" s="3">
        <v>8</v>
      </c>
      <c r="B70" s="4">
        <v>200794867</v>
      </c>
      <c r="C70" s="3" t="s">
        <v>81</v>
      </c>
      <c r="D70" s="3" t="s">
        <v>83</v>
      </c>
      <c r="E70" s="3" t="s">
        <v>36</v>
      </c>
      <c r="F70" s="5">
        <v>231210081256088</v>
      </c>
      <c r="G70" s="3" t="s">
        <v>27</v>
      </c>
      <c r="H70" s="10" t="s">
        <v>201</v>
      </c>
      <c r="I70" s="3" t="s">
        <v>193</v>
      </c>
      <c r="J70" s="3" t="s">
        <v>91</v>
      </c>
      <c r="K70" s="7">
        <f>4*250</f>
        <v>1000</v>
      </c>
      <c r="L70" s="25">
        <v>796</v>
      </c>
    </row>
    <row r="71" spans="1:12" ht="25.5" x14ac:dyDescent="0.25">
      <c r="A71" s="3">
        <v>9</v>
      </c>
      <c r="B71" s="4">
        <v>200794867</v>
      </c>
      <c r="C71" s="3" t="s">
        <v>64</v>
      </c>
      <c r="D71" s="3" t="s">
        <v>68</v>
      </c>
      <c r="E71" s="3" t="s">
        <v>66</v>
      </c>
      <c r="F71" s="5">
        <v>231210081262701</v>
      </c>
      <c r="G71" s="4" t="s">
        <v>19</v>
      </c>
      <c r="H71" s="10" t="s">
        <v>202</v>
      </c>
      <c r="I71" s="3" t="s">
        <v>65</v>
      </c>
      <c r="J71" s="6" t="s">
        <v>67</v>
      </c>
      <c r="K71" s="7">
        <f>13*25</f>
        <v>325</v>
      </c>
      <c r="L71" s="25">
        <v>325</v>
      </c>
    </row>
    <row r="72" spans="1:12" ht="25.5" x14ac:dyDescent="0.25">
      <c r="A72" s="3">
        <v>10</v>
      </c>
      <c r="B72" s="4">
        <v>200794867</v>
      </c>
      <c r="C72" s="3" t="s">
        <v>71</v>
      </c>
      <c r="D72" s="3" t="s">
        <v>74</v>
      </c>
      <c r="E72" s="3" t="s">
        <v>73</v>
      </c>
      <c r="F72" s="5">
        <v>231210081285149</v>
      </c>
      <c r="G72" s="3" t="s">
        <v>27</v>
      </c>
      <c r="H72" s="10" t="s">
        <v>203</v>
      </c>
      <c r="I72" s="3" t="s">
        <v>72</v>
      </c>
      <c r="J72" s="6" t="s">
        <v>49</v>
      </c>
      <c r="K72" s="7">
        <f>800*12</f>
        <v>9600</v>
      </c>
      <c r="L72" s="25">
        <v>5760</v>
      </c>
    </row>
    <row r="73" spans="1:12" ht="25.5" x14ac:dyDescent="0.25">
      <c r="A73" s="3">
        <v>11</v>
      </c>
      <c r="B73" s="4">
        <v>200794867</v>
      </c>
      <c r="C73" s="3" t="s">
        <v>75</v>
      </c>
      <c r="D73" s="3" t="s">
        <v>77</v>
      </c>
      <c r="E73" s="3" t="s">
        <v>20</v>
      </c>
      <c r="F73" s="5">
        <v>231210081288890</v>
      </c>
      <c r="G73" s="3" t="s">
        <v>27</v>
      </c>
      <c r="H73" s="10" t="s">
        <v>204</v>
      </c>
      <c r="I73" s="3" t="s">
        <v>76</v>
      </c>
      <c r="J73" s="6" t="s">
        <v>26</v>
      </c>
      <c r="K73" s="7">
        <v>1190</v>
      </c>
      <c r="L73" s="25">
        <v>1190</v>
      </c>
    </row>
    <row r="74" spans="1:12" ht="25.5" x14ac:dyDescent="0.25">
      <c r="A74" s="3">
        <v>12</v>
      </c>
      <c r="B74" s="4">
        <v>200794867</v>
      </c>
      <c r="C74" s="3" t="s">
        <v>75</v>
      </c>
      <c r="D74" s="3" t="s">
        <v>77</v>
      </c>
      <c r="E74" s="3" t="s">
        <v>20</v>
      </c>
      <c r="F74" s="5">
        <v>231210081288897</v>
      </c>
      <c r="G74" s="3" t="s">
        <v>27</v>
      </c>
      <c r="H74" s="10" t="s">
        <v>204</v>
      </c>
      <c r="I74" s="3" t="s">
        <v>78</v>
      </c>
      <c r="J74" s="6" t="s">
        <v>26</v>
      </c>
      <c r="K74" s="7">
        <v>1315</v>
      </c>
      <c r="L74" s="25">
        <v>1315</v>
      </c>
    </row>
    <row r="75" spans="1:12" ht="25.5" x14ac:dyDescent="0.25">
      <c r="A75" s="3">
        <v>13</v>
      </c>
      <c r="B75" s="4">
        <v>200794867</v>
      </c>
      <c r="C75" s="3" t="s">
        <v>75</v>
      </c>
      <c r="D75" s="3" t="s">
        <v>77</v>
      </c>
      <c r="E75" s="3" t="s">
        <v>20</v>
      </c>
      <c r="F75" s="5">
        <v>231210081288898</v>
      </c>
      <c r="G75" s="3" t="s">
        <v>27</v>
      </c>
      <c r="H75" s="10" t="s">
        <v>204</v>
      </c>
      <c r="I75" s="3" t="s">
        <v>79</v>
      </c>
      <c r="J75" s="6" t="s">
        <v>26</v>
      </c>
      <c r="K75" s="7">
        <v>160</v>
      </c>
      <c r="L75" s="25">
        <v>160</v>
      </c>
    </row>
    <row r="76" spans="1:12" ht="25.5" x14ac:dyDescent="0.25">
      <c r="A76" s="3">
        <v>14</v>
      </c>
      <c r="B76" s="4">
        <v>200794867</v>
      </c>
      <c r="C76" s="3" t="s">
        <v>75</v>
      </c>
      <c r="D76" s="3" t="s">
        <v>77</v>
      </c>
      <c r="E76" s="3" t="s">
        <v>20</v>
      </c>
      <c r="F76" s="5">
        <v>231210081288899</v>
      </c>
      <c r="G76" s="3" t="s">
        <v>27</v>
      </c>
      <c r="H76" s="10" t="s">
        <v>204</v>
      </c>
      <c r="I76" s="3" t="s">
        <v>80</v>
      </c>
      <c r="J76" s="6" t="s">
        <v>26</v>
      </c>
      <c r="K76" s="7">
        <v>160</v>
      </c>
      <c r="L76" s="25">
        <v>160</v>
      </c>
    </row>
    <row r="77" spans="1:12" ht="25.5" x14ac:dyDescent="0.25">
      <c r="A77" s="3">
        <v>15</v>
      </c>
      <c r="B77" s="4">
        <v>200794867</v>
      </c>
      <c r="C77" s="3" t="s">
        <v>81</v>
      </c>
      <c r="D77" s="3" t="s">
        <v>83</v>
      </c>
      <c r="E77" s="3" t="s">
        <v>47</v>
      </c>
      <c r="F77" s="5">
        <v>231210081310228</v>
      </c>
      <c r="G77" s="3" t="s">
        <v>27</v>
      </c>
      <c r="H77" s="10" t="s">
        <v>205</v>
      </c>
      <c r="I77" s="3" t="s">
        <v>82</v>
      </c>
      <c r="J77" s="6" t="s">
        <v>26</v>
      </c>
      <c r="K77" s="7">
        <v>1880</v>
      </c>
      <c r="L77" s="25">
        <v>1400</v>
      </c>
    </row>
    <row r="78" spans="1:12" ht="25.5" x14ac:dyDescent="0.25">
      <c r="A78" s="3">
        <v>16</v>
      </c>
      <c r="B78" s="4">
        <v>200794867</v>
      </c>
      <c r="C78" s="3" t="s">
        <v>84</v>
      </c>
      <c r="D78" s="3" t="s">
        <v>88</v>
      </c>
      <c r="E78" s="3" t="s">
        <v>86</v>
      </c>
      <c r="F78" s="5">
        <v>231210081317192</v>
      </c>
      <c r="G78" s="3" t="s">
        <v>27</v>
      </c>
      <c r="H78" s="10" t="s">
        <v>85</v>
      </c>
      <c r="I78" s="3" t="s">
        <v>87</v>
      </c>
      <c r="J78" s="6" t="s">
        <v>26</v>
      </c>
      <c r="K78" s="7">
        <f>185*6</f>
        <v>1110</v>
      </c>
      <c r="L78" s="25">
        <v>954</v>
      </c>
    </row>
    <row r="79" spans="1:12" ht="25.5" x14ac:dyDescent="0.25">
      <c r="A79" s="3">
        <v>17</v>
      </c>
      <c r="B79" s="4">
        <v>200794867</v>
      </c>
      <c r="C79" s="3" t="s">
        <v>84</v>
      </c>
      <c r="D79" s="3" t="s">
        <v>88</v>
      </c>
      <c r="E79" s="3" t="s">
        <v>89</v>
      </c>
      <c r="F79" s="5">
        <v>231210081317169</v>
      </c>
      <c r="G79" s="3" t="s">
        <v>27</v>
      </c>
      <c r="H79" s="10" t="s">
        <v>85</v>
      </c>
      <c r="I79" s="3" t="s">
        <v>90</v>
      </c>
      <c r="J79" s="6" t="s">
        <v>91</v>
      </c>
      <c r="K79" s="7">
        <f>3500</f>
        <v>3500</v>
      </c>
      <c r="L79" s="25">
        <v>2650</v>
      </c>
    </row>
    <row r="80" spans="1:12" ht="38.25" x14ac:dyDescent="0.25">
      <c r="A80" s="3">
        <v>18</v>
      </c>
      <c r="B80" s="4">
        <v>200794867</v>
      </c>
      <c r="C80" s="3" t="s">
        <v>92</v>
      </c>
      <c r="D80" s="3" t="s">
        <v>95</v>
      </c>
      <c r="E80" s="3" t="s">
        <v>94</v>
      </c>
      <c r="F80" s="5">
        <v>231210081317357</v>
      </c>
      <c r="G80" s="3" t="s">
        <v>27</v>
      </c>
      <c r="H80" s="10" t="s">
        <v>206</v>
      </c>
      <c r="I80" s="3" t="s">
        <v>93</v>
      </c>
      <c r="J80" s="6" t="s">
        <v>96</v>
      </c>
      <c r="K80" s="7">
        <v>360.01</v>
      </c>
      <c r="L80" s="25">
        <v>360.01</v>
      </c>
    </row>
    <row r="81" spans="1:12" ht="25.5" x14ac:dyDescent="0.25">
      <c r="A81" s="3">
        <v>19</v>
      </c>
      <c r="B81" s="4">
        <v>200794867</v>
      </c>
      <c r="C81" s="3" t="s">
        <v>84</v>
      </c>
      <c r="D81" s="3" t="s">
        <v>88</v>
      </c>
      <c r="E81" s="3" t="s">
        <v>99</v>
      </c>
      <c r="F81" s="5">
        <v>231210081337549</v>
      </c>
      <c r="G81" s="3" t="s">
        <v>27</v>
      </c>
      <c r="H81" s="10" t="s">
        <v>207</v>
      </c>
      <c r="I81" s="3" t="s">
        <v>97</v>
      </c>
      <c r="J81" s="6" t="s">
        <v>98</v>
      </c>
      <c r="K81" s="7">
        <f>1200*3</f>
        <v>3600</v>
      </c>
      <c r="L81" s="25">
        <v>2998.8</v>
      </c>
    </row>
    <row r="82" spans="1:12" ht="25.5" x14ac:dyDescent="0.25">
      <c r="A82" s="3">
        <v>20</v>
      </c>
      <c r="B82" s="4">
        <v>200794867</v>
      </c>
      <c r="C82" s="3" t="s">
        <v>104</v>
      </c>
      <c r="D82" s="3" t="s">
        <v>52</v>
      </c>
      <c r="E82" s="3" t="s">
        <v>106</v>
      </c>
      <c r="F82" s="5">
        <v>231210081345517</v>
      </c>
      <c r="G82" s="3" t="s">
        <v>27</v>
      </c>
      <c r="H82" s="10" t="s">
        <v>208</v>
      </c>
      <c r="I82" s="3" t="s">
        <v>105</v>
      </c>
      <c r="J82" s="6" t="s">
        <v>39</v>
      </c>
      <c r="K82" s="7">
        <f>33.3*100</f>
        <v>3329.9999999999995</v>
      </c>
      <c r="L82" s="25">
        <v>1848</v>
      </c>
    </row>
    <row r="83" spans="1:12" ht="51" x14ac:dyDescent="0.25">
      <c r="A83" s="3">
        <v>21</v>
      </c>
      <c r="B83" s="4">
        <v>200794867</v>
      </c>
      <c r="C83" s="3" t="s">
        <v>107</v>
      </c>
      <c r="D83" s="3" t="s">
        <v>109</v>
      </c>
      <c r="E83" s="3" t="s">
        <v>20</v>
      </c>
      <c r="F83" s="5">
        <v>231210081354777</v>
      </c>
      <c r="G83" s="4" t="s">
        <v>19</v>
      </c>
      <c r="H83" s="10" t="s">
        <v>209</v>
      </c>
      <c r="I83" s="3" t="s">
        <v>108</v>
      </c>
      <c r="J83" s="6" t="s">
        <v>39</v>
      </c>
      <c r="K83" s="7">
        <v>4000</v>
      </c>
      <c r="L83" s="25">
        <v>2979.2</v>
      </c>
    </row>
    <row r="84" spans="1:12" ht="25.5" x14ac:dyDescent="0.25">
      <c r="A84" s="3">
        <v>22</v>
      </c>
      <c r="B84" s="4">
        <v>200794867</v>
      </c>
      <c r="C84" s="3" t="s">
        <v>64</v>
      </c>
      <c r="D84" s="3" t="s">
        <v>68</v>
      </c>
      <c r="E84" s="3" t="s">
        <v>66</v>
      </c>
      <c r="F84" s="5">
        <v>231210081362942</v>
      </c>
      <c r="G84" s="4" t="s">
        <v>19</v>
      </c>
      <c r="H84" s="10" t="s">
        <v>202</v>
      </c>
      <c r="I84" s="3" t="s">
        <v>110</v>
      </c>
      <c r="J84" s="6" t="s">
        <v>67</v>
      </c>
      <c r="K84" s="7">
        <f>13*25</f>
        <v>325</v>
      </c>
      <c r="L84" s="25">
        <v>325</v>
      </c>
    </row>
    <row r="85" spans="1:12" ht="25.5" x14ac:dyDescent="0.25">
      <c r="A85" s="3">
        <v>23</v>
      </c>
      <c r="B85" s="4">
        <v>200794867</v>
      </c>
      <c r="C85" s="3" t="s">
        <v>111</v>
      </c>
      <c r="D85" s="3" t="s">
        <v>24</v>
      </c>
      <c r="E85" s="3" t="s">
        <v>56</v>
      </c>
      <c r="F85" s="5">
        <v>231210081365981</v>
      </c>
      <c r="G85" s="3" t="s">
        <v>27</v>
      </c>
      <c r="H85" s="10" t="s">
        <v>210</v>
      </c>
      <c r="I85" s="3" t="s">
        <v>112</v>
      </c>
      <c r="J85" s="6" t="s">
        <v>49</v>
      </c>
      <c r="K85" s="7">
        <f>70*30</f>
        <v>2100</v>
      </c>
      <c r="L85" s="25">
        <v>1014</v>
      </c>
    </row>
    <row r="86" spans="1:12" ht="25.5" x14ac:dyDescent="0.25">
      <c r="A86" s="3">
        <v>24</v>
      </c>
      <c r="B86" s="4">
        <v>200794867</v>
      </c>
      <c r="C86" s="3" t="s">
        <v>111</v>
      </c>
      <c r="D86" s="3" t="s">
        <v>24</v>
      </c>
      <c r="E86" s="3" t="s">
        <v>56</v>
      </c>
      <c r="F86" s="5">
        <v>231210081365982</v>
      </c>
      <c r="G86" s="3" t="s">
        <v>27</v>
      </c>
      <c r="H86" s="10" t="s">
        <v>211</v>
      </c>
      <c r="I86" s="3" t="s">
        <v>113</v>
      </c>
      <c r="J86" s="6" t="s">
        <v>49</v>
      </c>
      <c r="K86" s="7">
        <f>70*30</f>
        <v>2100</v>
      </c>
      <c r="L86" s="25">
        <v>921</v>
      </c>
    </row>
    <row r="87" spans="1:12" ht="25.5" x14ac:dyDescent="0.25">
      <c r="A87" s="3">
        <v>25</v>
      </c>
      <c r="B87" s="4">
        <v>200794867</v>
      </c>
      <c r="C87" s="3" t="s">
        <v>114</v>
      </c>
      <c r="D87" s="3" t="s">
        <v>24</v>
      </c>
      <c r="E87" s="3" t="s">
        <v>116</v>
      </c>
      <c r="F87" s="5">
        <v>231210081365984</v>
      </c>
      <c r="G87" s="3" t="s">
        <v>27</v>
      </c>
      <c r="H87" s="10" t="s">
        <v>212</v>
      </c>
      <c r="I87" s="3" t="s">
        <v>115</v>
      </c>
      <c r="J87" s="6" t="s">
        <v>49</v>
      </c>
      <c r="K87" s="7">
        <f>70*20</f>
        <v>1400</v>
      </c>
      <c r="L87" s="25">
        <v>774</v>
      </c>
    </row>
    <row r="88" spans="1:12" ht="25.5" x14ac:dyDescent="0.25">
      <c r="A88" s="3">
        <v>26</v>
      </c>
      <c r="B88" s="4">
        <v>200794867</v>
      </c>
      <c r="C88" s="3" t="s">
        <v>117</v>
      </c>
      <c r="D88" s="3" t="s">
        <v>24</v>
      </c>
      <c r="E88" s="3" t="s">
        <v>116</v>
      </c>
      <c r="F88" s="5">
        <v>231210081365986</v>
      </c>
      <c r="G88" s="3" t="s">
        <v>27</v>
      </c>
      <c r="H88" s="10" t="s">
        <v>213</v>
      </c>
      <c r="I88" s="3" t="s">
        <v>118</v>
      </c>
      <c r="J88" s="6" t="s">
        <v>49</v>
      </c>
      <c r="K88" s="7">
        <f>50*20</f>
        <v>1000</v>
      </c>
      <c r="L88" s="25">
        <v>640</v>
      </c>
    </row>
    <row r="89" spans="1:12" ht="25.5" x14ac:dyDescent="0.25">
      <c r="A89" s="3">
        <v>27</v>
      </c>
      <c r="B89" s="4">
        <v>200794867</v>
      </c>
      <c r="C89" s="3" t="s">
        <v>119</v>
      </c>
      <c r="D89" s="3" t="s">
        <v>52</v>
      </c>
      <c r="E89" s="3" t="s">
        <v>106</v>
      </c>
      <c r="F89" s="5">
        <v>231210081365987</v>
      </c>
      <c r="G89" s="3" t="s">
        <v>27</v>
      </c>
      <c r="H89" s="10" t="s">
        <v>213</v>
      </c>
      <c r="I89" s="3" t="s">
        <v>120</v>
      </c>
      <c r="J89" s="6" t="s">
        <v>49</v>
      </c>
      <c r="K89" s="7">
        <f>25*100</f>
        <v>2500</v>
      </c>
      <c r="L89" s="25">
        <v>1500</v>
      </c>
    </row>
    <row r="90" spans="1:12" ht="25.5" x14ac:dyDescent="0.25">
      <c r="A90" s="3">
        <v>28</v>
      </c>
      <c r="B90" s="4">
        <v>200794867</v>
      </c>
      <c r="C90" s="3" t="s">
        <v>121</v>
      </c>
      <c r="D90" s="3" t="s">
        <v>124</v>
      </c>
      <c r="E90" s="3" t="s">
        <v>123</v>
      </c>
      <c r="F90" s="5">
        <v>231210081365989</v>
      </c>
      <c r="G90" s="3" t="s">
        <v>27</v>
      </c>
      <c r="H90" s="10" t="s">
        <v>213</v>
      </c>
      <c r="I90" s="3" t="s">
        <v>122</v>
      </c>
      <c r="J90" s="6" t="s">
        <v>49</v>
      </c>
      <c r="K90" s="7">
        <f>30*600</f>
        <v>18000</v>
      </c>
      <c r="L90" s="25">
        <v>8700</v>
      </c>
    </row>
    <row r="91" spans="1:12" ht="25.5" x14ac:dyDescent="0.25">
      <c r="A91" s="3">
        <v>29</v>
      </c>
      <c r="B91" s="4">
        <v>200794867</v>
      </c>
      <c r="C91" s="3" t="s">
        <v>125</v>
      </c>
      <c r="D91" s="3" t="s">
        <v>127</v>
      </c>
      <c r="E91" s="3" t="s">
        <v>106</v>
      </c>
      <c r="F91" s="5">
        <v>231210081365990</v>
      </c>
      <c r="G91" s="3" t="s">
        <v>27</v>
      </c>
      <c r="H91" s="10" t="s">
        <v>214</v>
      </c>
      <c r="I91" s="3" t="s">
        <v>126</v>
      </c>
      <c r="J91" s="6" t="s">
        <v>67</v>
      </c>
      <c r="K91" s="7">
        <f>25*100</f>
        <v>2500</v>
      </c>
      <c r="L91" s="25">
        <v>860</v>
      </c>
    </row>
    <row r="92" spans="1:12" ht="25.5" x14ac:dyDescent="0.25">
      <c r="A92" s="3">
        <v>30</v>
      </c>
      <c r="B92" s="4">
        <v>200794867</v>
      </c>
      <c r="C92" s="3" t="s">
        <v>128</v>
      </c>
      <c r="D92" s="3" t="s">
        <v>131</v>
      </c>
      <c r="E92" s="3" t="s">
        <v>129</v>
      </c>
      <c r="F92" s="5">
        <v>231210081365991</v>
      </c>
      <c r="G92" s="3" t="s">
        <v>27</v>
      </c>
      <c r="H92" s="10" t="s">
        <v>213</v>
      </c>
      <c r="I92" s="3" t="s">
        <v>130</v>
      </c>
      <c r="J92" s="6" t="s">
        <v>49</v>
      </c>
      <c r="K92" s="7">
        <f>3.2*100</f>
        <v>320</v>
      </c>
      <c r="L92" s="25">
        <v>250</v>
      </c>
    </row>
    <row r="93" spans="1:12" ht="25.5" x14ac:dyDescent="0.25">
      <c r="A93" s="3">
        <v>31</v>
      </c>
      <c r="B93" s="4">
        <v>200794867</v>
      </c>
      <c r="C93" s="3" t="s">
        <v>132</v>
      </c>
      <c r="D93" s="3" t="s">
        <v>124</v>
      </c>
      <c r="E93" s="3" t="s">
        <v>134</v>
      </c>
      <c r="F93" s="5">
        <v>231210081365992</v>
      </c>
      <c r="G93" s="3" t="s">
        <v>27</v>
      </c>
      <c r="H93" s="10" t="s">
        <v>215</v>
      </c>
      <c r="I93" s="3" t="s">
        <v>133</v>
      </c>
      <c r="J93" s="6" t="s">
        <v>49</v>
      </c>
      <c r="K93" s="7">
        <f>85*50</f>
        <v>4250</v>
      </c>
      <c r="L93" s="25">
        <v>3400.0050000000001</v>
      </c>
    </row>
    <row r="94" spans="1:12" ht="25.5" x14ac:dyDescent="0.25">
      <c r="A94" s="3">
        <v>32</v>
      </c>
      <c r="B94" s="4">
        <v>200794867</v>
      </c>
      <c r="C94" s="3" t="s">
        <v>135</v>
      </c>
      <c r="D94" s="3" t="s">
        <v>24</v>
      </c>
      <c r="E94" s="3" t="s">
        <v>136</v>
      </c>
      <c r="F94" s="5">
        <v>231210081365994</v>
      </c>
      <c r="G94" s="3" t="s">
        <v>27</v>
      </c>
      <c r="H94" s="10" t="s">
        <v>216</v>
      </c>
      <c r="I94" s="3" t="s">
        <v>137</v>
      </c>
      <c r="J94" s="6" t="s">
        <v>49</v>
      </c>
      <c r="K94" s="7">
        <f>150*10</f>
        <v>1500</v>
      </c>
      <c r="L94" s="25">
        <v>840</v>
      </c>
    </row>
    <row r="95" spans="1:12" ht="25.5" x14ac:dyDescent="0.25">
      <c r="A95" s="3">
        <v>33</v>
      </c>
      <c r="B95" s="4">
        <v>200794867</v>
      </c>
      <c r="C95" s="3" t="s">
        <v>138</v>
      </c>
      <c r="D95" s="3" t="s">
        <v>24</v>
      </c>
      <c r="E95" s="3" t="s">
        <v>136</v>
      </c>
      <c r="F95" s="5">
        <v>231210081365995</v>
      </c>
      <c r="G95" s="3" t="s">
        <v>27</v>
      </c>
      <c r="H95" s="10" t="s">
        <v>213</v>
      </c>
      <c r="I95" s="3" t="s">
        <v>139</v>
      </c>
      <c r="J95" s="6" t="s">
        <v>49</v>
      </c>
      <c r="K95" s="7">
        <f>90*10</f>
        <v>900</v>
      </c>
      <c r="L95" s="25">
        <v>300</v>
      </c>
    </row>
    <row r="96" spans="1:12" ht="25.5" x14ac:dyDescent="0.25">
      <c r="A96" s="3">
        <v>34</v>
      </c>
      <c r="B96" s="4">
        <v>200794867</v>
      </c>
      <c r="C96" s="3" t="s">
        <v>140</v>
      </c>
      <c r="D96" s="3" t="s">
        <v>127</v>
      </c>
      <c r="E96" s="3" t="s">
        <v>142</v>
      </c>
      <c r="F96" s="5">
        <v>231210081365996</v>
      </c>
      <c r="G96" s="3" t="s">
        <v>27</v>
      </c>
      <c r="H96" s="10" t="s">
        <v>217</v>
      </c>
      <c r="I96" s="3" t="s">
        <v>141</v>
      </c>
      <c r="J96" s="6" t="s">
        <v>49</v>
      </c>
      <c r="K96" s="7">
        <f>9*100</f>
        <v>900</v>
      </c>
      <c r="L96" s="25">
        <v>579.9</v>
      </c>
    </row>
    <row r="97" spans="1:12" ht="25.5" x14ac:dyDescent="0.25">
      <c r="A97" s="3">
        <v>35</v>
      </c>
      <c r="B97" s="4">
        <v>200794867</v>
      </c>
      <c r="C97" s="3" t="s">
        <v>143</v>
      </c>
      <c r="D97" s="3" t="s">
        <v>52</v>
      </c>
      <c r="E97" s="3" t="s">
        <v>134</v>
      </c>
      <c r="F97" s="5">
        <v>231210081365998</v>
      </c>
      <c r="G97" s="3" t="s">
        <v>27</v>
      </c>
      <c r="H97" s="10" t="s">
        <v>210</v>
      </c>
      <c r="I97" s="3" t="s">
        <v>144</v>
      </c>
      <c r="J97" s="6" t="s">
        <v>49</v>
      </c>
      <c r="K97" s="7">
        <f>80*50</f>
        <v>4000</v>
      </c>
      <c r="L97" s="25">
        <v>1400</v>
      </c>
    </row>
    <row r="98" spans="1:12" ht="25.5" x14ac:dyDescent="0.25">
      <c r="A98" s="3">
        <v>36</v>
      </c>
      <c r="B98" s="4">
        <v>200794867</v>
      </c>
      <c r="C98" s="3" t="s">
        <v>145</v>
      </c>
      <c r="D98" s="3" t="s">
        <v>147</v>
      </c>
      <c r="E98" s="3" t="s">
        <v>134</v>
      </c>
      <c r="F98" s="5">
        <v>231210081366004</v>
      </c>
      <c r="G98" s="3" t="s">
        <v>27</v>
      </c>
      <c r="H98" s="10" t="s">
        <v>218</v>
      </c>
      <c r="I98" s="3" t="s">
        <v>146</v>
      </c>
      <c r="J98" s="6" t="s">
        <v>39</v>
      </c>
      <c r="K98" s="7">
        <f>25*50</f>
        <v>1250</v>
      </c>
      <c r="L98" s="27">
        <v>700</v>
      </c>
    </row>
    <row r="99" spans="1:12" ht="25.5" x14ac:dyDescent="0.25">
      <c r="A99" s="3">
        <v>37</v>
      </c>
      <c r="B99" s="4">
        <v>200794867</v>
      </c>
      <c r="C99" s="3" t="s">
        <v>148</v>
      </c>
      <c r="D99" s="3" t="s">
        <v>52</v>
      </c>
      <c r="E99" s="3" t="s">
        <v>151</v>
      </c>
      <c r="F99" s="5">
        <v>231210081366009</v>
      </c>
      <c r="G99" s="3" t="s">
        <v>27</v>
      </c>
      <c r="H99" s="10" t="s">
        <v>149</v>
      </c>
      <c r="I99" s="3" t="s">
        <v>150</v>
      </c>
      <c r="J99" s="6" t="s">
        <v>49</v>
      </c>
      <c r="K99" s="7">
        <f>30*60</f>
        <v>1800</v>
      </c>
      <c r="L99" s="25">
        <v>799.98</v>
      </c>
    </row>
    <row r="100" spans="1:12" ht="25.5" x14ac:dyDescent="0.25">
      <c r="A100" s="3">
        <v>38</v>
      </c>
      <c r="B100" s="4">
        <v>200794867</v>
      </c>
      <c r="C100" s="3" t="s">
        <v>152</v>
      </c>
      <c r="D100" s="3" t="s">
        <v>88</v>
      </c>
      <c r="E100" s="3" t="s">
        <v>36</v>
      </c>
      <c r="F100" s="5">
        <v>231210081366018</v>
      </c>
      <c r="G100" s="3" t="s">
        <v>27</v>
      </c>
      <c r="H100" s="10" t="s">
        <v>216</v>
      </c>
      <c r="I100" s="3" t="s">
        <v>153</v>
      </c>
      <c r="J100" s="6" t="s">
        <v>26</v>
      </c>
      <c r="K100" s="7">
        <f>120*4</f>
        <v>480</v>
      </c>
      <c r="L100" s="25">
        <v>364</v>
      </c>
    </row>
    <row r="101" spans="1:12" ht="25.5" x14ac:dyDescent="0.25">
      <c r="A101" s="3">
        <v>39</v>
      </c>
      <c r="B101" s="4">
        <v>200794867</v>
      </c>
      <c r="C101" s="3" t="s">
        <v>61</v>
      </c>
      <c r="D101" s="3" t="s">
        <v>63</v>
      </c>
      <c r="E101" s="3" t="s">
        <v>20</v>
      </c>
      <c r="F101" s="5">
        <v>231210081371669</v>
      </c>
      <c r="G101" s="4" t="s">
        <v>19</v>
      </c>
      <c r="H101" s="10" t="s">
        <v>219</v>
      </c>
      <c r="I101" s="3" t="s">
        <v>154</v>
      </c>
      <c r="J101" s="3" t="s">
        <v>39</v>
      </c>
      <c r="K101" s="7">
        <v>8000</v>
      </c>
      <c r="L101" s="27">
        <v>6500</v>
      </c>
    </row>
    <row r="102" spans="1:12" ht="25.5" x14ac:dyDescent="0.25">
      <c r="A102" s="3">
        <v>40</v>
      </c>
      <c r="B102" s="4">
        <v>200794867</v>
      </c>
      <c r="C102" s="3" t="s">
        <v>185</v>
      </c>
      <c r="D102" s="3" t="s">
        <v>187</v>
      </c>
      <c r="E102" s="3" t="s">
        <v>20</v>
      </c>
      <c r="F102" s="5">
        <v>231210081381469</v>
      </c>
      <c r="G102" s="3" t="s">
        <v>27</v>
      </c>
      <c r="H102" s="10" t="s">
        <v>220</v>
      </c>
      <c r="I102" s="3" t="s">
        <v>186</v>
      </c>
      <c r="J102" s="6" t="s">
        <v>26</v>
      </c>
      <c r="K102" s="7">
        <v>108.5</v>
      </c>
      <c r="L102" s="25">
        <v>108.5</v>
      </c>
    </row>
    <row r="103" spans="1:12" ht="25.5" x14ac:dyDescent="0.25">
      <c r="A103" s="3">
        <v>41</v>
      </c>
      <c r="B103" s="4">
        <v>200794867</v>
      </c>
      <c r="C103" s="3" t="s">
        <v>172</v>
      </c>
      <c r="D103" s="3" t="s">
        <v>175</v>
      </c>
      <c r="E103" s="3" t="s">
        <v>174</v>
      </c>
      <c r="F103" s="5">
        <v>231210081395305</v>
      </c>
      <c r="G103" s="3" t="s">
        <v>27</v>
      </c>
      <c r="H103" s="10" t="s">
        <v>221</v>
      </c>
      <c r="I103" s="3" t="s">
        <v>173</v>
      </c>
      <c r="J103" s="6" t="s">
        <v>67</v>
      </c>
      <c r="K103" s="7">
        <f>99*10</f>
        <v>990</v>
      </c>
      <c r="L103" s="25">
        <v>888</v>
      </c>
    </row>
    <row r="104" spans="1:12" ht="25.5" x14ac:dyDescent="0.25">
      <c r="A104" s="3">
        <v>42</v>
      </c>
      <c r="B104" s="4">
        <v>200794867</v>
      </c>
      <c r="C104" s="3" t="s">
        <v>176</v>
      </c>
      <c r="D104" s="3" t="s">
        <v>179</v>
      </c>
      <c r="E104" s="3" t="s">
        <v>177</v>
      </c>
      <c r="F104" s="5">
        <v>231210081395383</v>
      </c>
      <c r="G104" s="3" t="s">
        <v>27</v>
      </c>
      <c r="H104" s="10" t="s">
        <v>222</v>
      </c>
      <c r="I104" s="3" t="s">
        <v>178</v>
      </c>
      <c r="J104" s="6" t="s">
        <v>67</v>
      </c>
      <c r="K104" s="7">
        <f>500*2</f>
        <v>1000</v>
      </c>
      <c r="L104" s="25">
        <v>713.5</v>
      </c>
    </row>
    <row r="105" spans="1:12" ht="25.5" x14ac:dyDescent="0.25">
      <c r="A105" s="3">
        <v>43</v>
      </c>
      <c r="B105" s="4">
        <v>200794867</v>
      </c>
      <c r="C105" s="3" t="s">
        <v>188</v>
      </c>
      <c r="D105" s="3" t="s">
        <v>95</v>
      </c>
      <c r="E105" s="3" t="s">
        <v>20</v>
      </c>
      <c r="F105" s="5">
        <v>231210081396535</v>
      </c>
      <c r="G105" s="3" t="s">
        <v>27</v>
      </c>
      <c r="H105" s="10" t="s">
        <v>223</v>
      </c>
      <c r="I105" s="3" t="s">
        <v>189</v>
      </c>
      <c r="J105" s="6" t="s">
        <v>184</v>
      </c>
      <c r="K105" s="7">
        <v>252</v>
      </c>
      <c r="L105" s="25">
        <v>252</v>
      </c>
    </row>
    <row r="106" spans="1:12" ht="25.5" x14ac:dyDescent="0.25">
      <c r="A106" s="3">
        <v>44</v>
      </c>
      <c r="B106" s="4">
        <v>200794867</v>
      </c>
      <c r="C106" s="3" t="s">
        <v>255</v>
      </c>
      <c r="D106" s="3" t="s">
        <v>40</v>
      </c>
      <c r="E106" s="3" t="s">
        <v>106</v>
      </c>
      <c r="F106" s="5">
        <v>231210081428113</v>
      </c>
      <c r="G106" s="3" t="s">
        <v>27</v>
      </c>
      <c r="H106" s="10" t="s">
        <v>253</v>
      </c>
      <c r="I106" s="3" t="s">
        <v>254</v>
      </c>
      <c r="J106" s="6" t="s">
        <v>39</v>
      </c>
      <c r="K106" s="7">
        <v>1910</v>
      </c>
      <c r="L106" s="25">
        <v>1199.2</v>
      </c>
    </row>
    <row r="107" spans="1:12" ht="25.5" x14ac:dyDescent="0.25">
      <c r="A107" s="3">
        <v>45</v>
      </c>
      <c r="B107" s="4">
        <v>200794867</v>
      </c>
      <c r="C107" s="3" t="s">
        <v>258</v>
      </c>
      <c r="D107" s="3" t="s">
        <v>179</v>
      </c>
      <c r="E107" s="3" t="s">
        <v>259</v>
      </c>
      <c r="F107" s="5">
        <v>231210081428127</v>
      </c>
      <c r="G107" s="3" t="s">
        <v>27</v>
      </c>
      <c r="H107" s="10" t="s">
        <v>256</v>
      </c>
      <c r="I107" s="3" t="s">
        <v>257</v>
      </c>
      <c r="J107" s="6" t="s">
        <v>39</v>
      </c>
      <c r="K107" s="7">
        <v>806.5</v>
      </c>
      <c r="L107" s="25">
        <v>706.5</v>
      </c>
    </row>
    <row r="108" spans="1:12" ht="25.5" x14ac:dyDescent="0.25">
      <c r="A108" s="3">
        <v>46</v>
      </c>
      <c r="B108" s="4">
        <v>200794867</v>
      </c>
      <c r="C108" s="3" t="s">
        <v>262</v>
      </c>
      <c r="D108" s="3" t="s">
        <v>147</v>
      </c>
      <c r="E108" s="3" t="s">
        <v>116</v>
      </c>
      <c r="F108" s="5">
        <v>231210081428122</v>
      </c>
      <c r="G108" s="3" t="s">
        <v>27</v>
      </c>
      <c r="H108" s="10" t="s">
        <v>260</v>
      </c>
      <c r="I108" s="3" t="s">
        <v>261</v>
      </c>
      <c r="J108" s="6" t="s">
        <v>39</v>
      </c>
      <c r="K108" s="7">
        <v>183</v>
      </c>
      <c r="L108" s="25">
        <v>100</v>
      </c>
    </row>
    <row r="109" spans="1:12" ht="25.5" x14ac:dyDescent="0.25">
      <c r="A109" s="3">
        <v>47</v>
      </c>
      <c r="B109" s="4">
        <v>200794867</v>
      </c>
      <c r="C109" s="3" t="s">
        <v>255</v>
      </c>
      <c r="D109" s="3" t="s">
        <v>40</v>
      </c>
      <c r="E109" s="3" t="s">
        <v>265</v>
      </c>
      <c r="F109" s="5">
        <v>231210081428117</v>
      </c>
      <c r="G109" s="3" t="s">
        <v>27</v>
      </c>
      <c r="H109" s="10" t="s">
        <v>263</v>
      </c>
      <c r="I109" s="3" t="s">
        <v>264</v>
      </c>
      <c r="J109" s="6" t="s">
        <v>39</v>
      </c>
      <c r="K109" s="7">
        <v>4580</v>
      </c>
      <c r="L109" s="25">
        <v>2890</v>
      </c>
    </row>
    <row r="110" spans="1:12" ht="25.5" x14ac:dyDescent="0.25">
      <c r="A110" s="3">
        <v>48</v>
      </c>
      <c r="B110" s="4">
        <v>200794867</v>
      </c>
      <c r="C110" s="3" t="s">
        <v>268</v>
      </c>
      <c r="D110" s="3" t="s">
        <v>131</v>
      </c>
      <c r="E110" s="3" t="s">
        <v>269</v>
      </c>
      <c r="F110" s="5">
        <v>231210081428130</v>
      </c>
      <c r="G110" s="3" t="s">
        <v>27</v>
      </c>
      <c r="H110" s="10" t="s">
        <v>266</v>
      </c>
      <c r="I110" s="3" t="s">
        <v>267</v>
      </c>
      <c r="J110" s="6" t="s">
        <v>39</v>
      </c>
      <c r="K110" s="7">
        <v>1029</v>
      </c>
      <c r="L110" s="25">
        <v>900</v>
      </c>
    </row>
    <row r="111" spans="1:12" ht="25.5" x14ac:dyDescent="0.25">
      <c r="A111" s="3">
        <v>49</v>
      </c>
      <c r="B111" s="4">
        <v>200794867</v>
      </c>
      <c r="C111" s="3" t="s">
        <v>273</v>
      </c>
      <c r="D111" s="3" t="s">
        <v>40</v>
      </c>
      <c r="E111" s="3" t="s">
        <v>275</v>
      </c>
      <c r="F111" s="5">
        <v>231210081432930</v>
      </c>
      <c r="G111" s="4" t="s">
        <v>19</v>
      </c>
      <c r="H111" s="10" t="s">
        <v>272</v>
      </c>
      <c r="I111" s="3" t="s">
        <v>274</v>
      </c>
      <c r="J111" s="6" t="s">
        <v>39</v>
      </c>
      <c r="K111" s="7">
        <v>128179.2</v>
      </c>
      <c r="L111" s="25">
        <v>98660.351999999999</v>
      </c>
    </row>
    <row r="112" spans="1:12" ht="25.5" x14ac:dyDescent="0.25">
      <c r="A112" s="3">
        <v>50</v>
      </c>
      <c r="B112" s="4">
        <v>200794867</v>
      </c>
      <c r="C112" s="3" t="s">
        <v>54</v>
      </c>
      <c r="D112" s="3" t="s">
        <v>24</v>
      </c>
      <c r="E112" s="3" t="s">
        <v>134</v>
      </c>
      <c r="F112" s="5">
        <v>231210081433082</v>
      </c>
      <c r="G112" s="3" t="s">
        <v>27</v>
      </c>
      <c r="H112" s="10" t="s">
        <v>276</v>
      </c>
      <c r="I112" s="3" t="s">
        <v>277</v>
      </c>
      <c r="J112" s="6" t="s">
        <v>67</v>
      </c>
      <c r="K112" s="7">
        <v>2900</v>
      </c>
      <c r="L112" s="25">
        <v>1105.55</v>
      </c>
    </row>
    <row r="113" spans="1:12" ht="25.5" x14ac:dyDescent="0.25">
      <c r="A113" s="3">
        <v>51</v>
      </c>
      <c r="B113" s="4">
        <v>200794867</v>
      </c>
      <c r="C113" s="3" t="s">
        <v>255</v>
      </c>
      <c r="D113" s="3" t="s">
        <v>40</v>
      </c>
      <c r="E113" s="3" t="s">
        <v>106</v>
      </c>
      <c r="F113" s="5">
        <v>231210081449773</v>
      </c>
      <c r="G113" s="3" t="s">
        <v>27</v>
      </c>
      <c r="H113" s="10" t="s">
        <v>278</v>
      </c>
      <c r="I113" s="3" t="s">
        <v>279</v>
      </c>
      <c r="J113" s="6" t="s">
        <v>39</v>
      </c>
      <c r="K113" s="7">
        <v>1725</v>
      </c>
      <c r="L113" s="25">
        <v>1055.5</v>
      </c>
    </row>
    <row r="114" spans="1:12" ht="25.5" x14ac:dyDescent="0.25">
      <c r="A114" s="3">
        <v>52</v>
      </c>
      <c r="B114" s="4">
        <v>200794867</v>
      </c>
      <c r="C114" s="3" t="s">
        <v>282</v>
      </c>
      <c r="D114" s="3" t="s">
        <v>48</v>
      </c>
      <c r="E114" s="3" t="s">
        <v>283</v>
      </c>
      <c r="F114" s="5">
        <v>231210081450600</v>
      </c>
      <c r="G114" s="3" t="s">
        <v>27</v>
      </c>
      <c r="H114" s="10" t="s">
        <v>280</v>
      </c>
      <c r="I114" s="3" t="s">
        <v>281</v>
      </c>
      <c r="J114" s="6" t="s">
        <v>91</v>
      </c>
      <c r="K114" s="7">
        <v>11700</v>
      </c>
      <c r="L114" s="25">
        <v>6900</v>
      </c>
    </row>
    <row r="115" spans="1:12" ht="25.5" x14ac:dyDescent="0.25">
      <c r="A115" s="3">
        <v>53</v>
      </c>
      <c r="B115" s="4">
        <v>200794867</v>
      </c>
      <c r="C115" s="3" t="s">
        <v>287</v>
      </c>
      <c r="D115" s="3" t="s">
        <v>103</v>
      </c>
      <c r="E115" s="3" t="s">
        <v>286</v>
      </c>
      <c r="F115" s="5">
        <v>231210081453100</v>
      </c>
      <c r="G115" s="3" t="s">
        <v>27</v>
      </c>
      <c r="H115" s="10" t="s">
        <v>284</v>
      </c>
      <c r="I115" s="3" t="s">
        <v>285</v>
      </c>
      <c r="J115" s="6" t="s">
        <v>44</v>
      </c>
      <c r="K115" s="7">
        <v>1300</v>
      </c>
      <c r="L115" s="25">
        <v>1081.08</v>
      </c>
    </row>
    <row r="116" spans="1:12" ht="25.5" x14ac:dyDescent="0.25">
      <c r="A116" s="3">
        <v>54</v>
      </c>
      <c r="B116" s="4">
        <v>200794867</v>
      </c>
      <c r="C116" s="3" t="s">
        <v>290</v>
      </c>
      <c r="D116" s="3" t="s">
        <v>29</v>
      </c>
      <c r="E116" s="3" t="s">
        <v>89</v>
      </c>
      <c r="F116" s="5">
        <v>231210081457806</v>
      </c>
      <c r="G116" s="4" t="s">
        <v>19</v>
      </c>
      <c r="H116" s="10" t="s">
        <v>288</v>
      </c>
      <c r="I116" s="3" t="s">
        <v>289</v>
      </c>
      <c r="J116" s="6" t="s">
        <v>44</v>
      </c>
      <c r="K116" s="7">
        <v>8052.6123600000001</v>
      </c>
      <c r="L116" s="25">
        <v>6490</v>
      </c>
    </row>
    <row r="117" spans="1:12" ht="38.25" x14ac:dyDescent="0.25">
      <c r="A117" s="3">
        <v>55</v>
      </c>
      <c r="B117" s="4">
        <v>200794867</v>
      </c>
      <c r="C117" s="3" t="s">
        <v>296</v>
      </c>
      <c r="D117" s="3" t="s">
        <v>60</v>
      </c>
      <c r="E117" s="3" t="s">
        <v>181</v>
      </c>
      <c r="F117" s="5">
        <v>231210081452788</v>
      </c>
      <c r="G117" s="4" t="s">
        <v>19</v>
      </c>
      <c r="H117" s="10" t="s">
        <v>295</v>
      </c>
      <c r="I117" s="3" t="s">
        <v>297</v>
      </c>
      <c r="J117" s="6" t="s">
        <v>96</v>
      </c>
      <c r="K117" s="7">
        <v>892.42944</v>
      </c>
      <c r="L117" s="25">
        <v>892.42944</v>
      </c>
    </row>
    <row r="118" spans="1:12" ht="25.5" x14ac:dyDescent="0.25">
      <c r="A118" s="3">
        <v>56</v>
      </c>
      <c r="B118" s="4">
        <v>200794867</v>
      </c>
      <c r="C118" s="3" t="s">
        <v>287</v>
      </c>
      <c r="D118" s="3" t="s">
        <v>103</v>
      </c>
      <c r="E118" s="3" t="s">
        <v>300</v>
      </c>
      <c r="F118" s="5">
        <v>231210081450607</v>
      </c>
      <c r="G118" s="3" t="s">
        <v>27</v>
      </c>
      <c r="H118" s="10" t="s">
        <v>298</v>
      </c>
      <c r="I118" s="3" t="s">
        <v>299</v>
      </c>
      <c r="J118" s="6" t="s">
        <v>39</v>
      </c>
      <c r="K118" s="7">
        <v>3949.12</v>
      </c>
      <c r="L118" s="25">
        <v>3949.12</v>
      </c>
    </row>
    <row r="119" spans="1:12" ht="25.5" x14ac:dyDescent="0.25">
      <c r="A119" s="3">
        <v>57</v>
      </c>
      <c r="B119" s="4">
        <v>200794867</v>
      </c>
      <c r="C119" s="3" t="s">
        <v>287</v>
      </c>
      <c r="D119" s="3" t="s">
        <v>103</v>
      </c>
      <c r="E119" s="3" t="s">
        <v>300</v>
      </c>
      <c r="F119" s="5">
        <v>231210081450606</v>
      </c>
      <c r="G119" s="3" t="s">
        <v>27</v>
      </c>
      <c r="H119" s="10" t="s">
        <v>298</v>
      </c>
      <c r="I119" s="3" t="s">
        <v>301</v>
      </c>
      <c r="J119" s="6" t="s">
        <v>39</v>
      </c>
      <c r="K119" s="7">
        <v>4780.16</v>
      </c>
      <c r="L119" s="25">
        <v>4780.16</v>
      </c>
    </row>
    <row r="120" spans="1:12" ht="25.5" x14ac:dyDescent="0.25">
      <c r="A120" s="3">
        <v>58</v>
      </c>
      <c r="B120" s="4">
        <v>200794867</v>
      </c>
      <c r="C120" s="3" t="s">
        <v>188</v>
      </c>
      <c r="D120" s="3" t="s">
        <v>95</v>
      </c>
      <c r="E120" s="3" t="s">
        <v>304</v>
      </c>
      <c r="F120" s="5">
        <v>231210081457992</v>
      </c>
      <c r="G120" s="3" t="s">
        <v>27</v>
      </c>
      <c r="H120" s="10" t="s">
        <v>302</v>
      </c>
      <c r="I120" s="3" t="s">
        <v>303</v>
      </c>
      <c r="J120" s="6" t="s">
        <v>184</v>
      </c>
      <c r="K120" s="7">
        <v>13860</v>
      </c>
      <c r="L120" s="25">
        <v>13860</v>
      </c>
    </row>
    <row r="121" spans="1:12" ht="25.5" x14ac:dyDescent="0.25">
      <c r="A121" s="3">
        <v>59</v>
      </c>
      <c r="B121" s="4">
        <v>200794867</v>
      </c>
      <c r="C121" s="3" t="s">
        <v>307</v>
      </c>
      <c r="D121" s="3" t="s">
        <v>103</v>
      </c>
      <c r="E121" s="3" t="s">
        <v>308</v>
      </c>
      <c r="F121" s="5">
        <v>231210081472436</v>
      </c>
      <c r="G121" s="3" t="s">
        <v>27</v>
      </c>
      <c r="H121" s="10" t="s">
        <v>305</v>
      </c>
      <c r="I121" s="3" t="s">
        <v>306</v>
      </c>
      <c r="J121" s="6" t="s">
        <v>39</v>
      </c>
      <c r="K121" s="7">
        <v>200</v>
      </c>
      <c r="L121" s="25">
        <v>200</v>
      </c>
    </row>
    <row r="122" spans="1:12" ht="25.5" x14ac:dyDescent="0.25">
      <c r="A122" s="3">
        <v>60</v>
      </c>
      <c r="B122" s="4">
        <v>200794867</v>
      </c>
      <c r="C122" s="3" t="s">
        <v>418</v>
      </c>
      <c r="D122" s="3" t="s">
        <v>147</v>
      </c>
      <c r="E122" s="3" t="s">
        <v>419</v>
      </c>
      <c r="F122" s="5">
        <v>231210081428120</v>
      </c>
      <c r="G122" s="3" t="s">
        <v>27</v>
      </c>
      <c r="H122" s="10" t="s">
        <v>417</v>
      </c>
      <c r="I122" s="3" t="s">
        <v>439</v>
      </c>
      <c r="J122" s="6" t="s">
        <v>39</v>
      </c>
      <c r="K122" s="7">
        <f>8.3*50</f>
        <v>415.00000000000006</v>
      </c>
      <c r="L122" s="25">
        <v>199.95</v>
      </c>
    </row>
    <row r="123" spans="1:12" ht="25.5" x14ac:dyDescent="0.25">
      <c r="A123" s="3">
        <v>61</v>
      </c>
      <c r="B123" s="4">
        <v>200794867</v>
      </c>
      <c r="C123" s="3" t="s">
        <v>421</v>
      </c>
      <c r="D123" s="3" t="s">
        <v>147</v>
      </c>
      <c r="E123" s="3" t="s">
        <v>422</v>
      </c>
      <c r="F123" s="5">
        <v>231210081455357</v>
      </c>
      <c r="G123" s="3" t="s">
        <v>27</v>
      </c>
      <c r="H123" s="10" t="s">
        <v>420</v>
      </c>
      <c r="I123" s="3" t="s">
        <v>436</v>
      </c>
      <c r="J123" s="6" t="s">
        <v>67</v>
      </c>
      <c r="K123" s="7">
        <f>115*15</f>
        <v>1725</v>
      </c>
      <c r="L123" s="25">
        <v>1050</v>
      </c>
    </row>
    <row r="124" spans="1:12" ht="25.5" x14ac:dyDescent="0.25">
      <c r="A124" s="3">
        <v>62</v>
      </c>
      <c r="B124" s="4">
        <v>200794867</v>
      </c>
      <c r="C124" s="3" t="s">
        <v>424</v>
      </c>
      <c r="D124" s="3" t="s">
        <v>147</v>
      </c>
      <c r="E124" s="3" t="s">
        <v>423</v>
      </c>
      <c r="F124" s="5">
        <v>231210081455360</v>
      </c>
      <c r="G124" s="3" t="s">
        <v>27</v>
      </c>
      <c r="H124" s="10" t="s">
        <v>420</v>
      </c>
      <c r="I124" s="3" t="s">
        <v>437</v>
      </c>
      <c r="J124" s="6" t="s">
        <v>67</v>
      </c>
      <c r="K124" s="7">
        <f>310*5</f>
        <v>1550</v>
      </c>
      <c r="L124" s="25">
        <v>725</v>
      </c>
    </row>
    <row r="125" spans="1:12" ht="25.5" x14ac:dyDescent="0.25">
      <c r="A125" s="3">
        <v>63</v>
      </c>
      <c r="B125" s="4">
        <v>200794867</v>
      </c>
      <c r="C125" s="3" t="s">
        <v>426</v>
      </c>
      <c r="D125" s="3" t="s">
        <v>103</v>
      </c>
      <c r="E125" s="3" t="s">
        <v>106</v>
      </c>
      <c r="F125" s="5">
        <v>231210081458496</v>
      </c>
      <c r="G125" s="3" t="s">
        <v>27</v>
      </c>
      <c r="H125" s="10" t="s">
        <v>425</v>
      </c>
      <c r="I125" s="3" t="s">
        <v>441</v>
      </c>
      <c r="J125" s="6" t="s">
        <v>21</v>
      </c>
      <c r="K125" s="7">
        <f>22*100</f>
        <v>2200</v>
      </c>
      <c r="L125" s="25">
        <v>1500</v>
      </c>
    </row>
    <row r="126" spans="1:12" ht="25.5" x14ac:dyDescent="0.25">
      <c r="A126" s="3">
        <v>64</v>
      </c>
      <c r="B126" s="4">
        <v>200794867</v>
      </c>
      <c r="C126" s="3" t="s">
        <v>428</v>
      </c>
      <c r="D126" s="3" t="s">
        <v>248</v>
      </c>
      <c r="E126" s="3" t="s">
        <v>429</v>
      </c>
      <c r="F126" s="5">
        <v>231210081450646</v>
      </c>
      <c r="G126" s="3" t="s">
        <v>27</v>
      </c>
      <c r="H126" s="10" t="s">
        <v>427</v>
      </c>
      <c r="I126" s="3" t="s">
        <v>440</v>
      </c>
      <c r="J126" s="6" t="s">
        <v>26</v>
      </c>
      <c r="K126" s="7">
        <f>2500*4</f>
        <v>10000</v>
      </c>
      <c r="L126" s="25">
        <v>10000</v>
      </c>
    </row>
    <row r="127" spans="1:12" ht="25.5" x14ac:dyDescent="0.25">
      <c r="A127" s="3">
        <v>65</v>
      </c>
      <c r="B127" s="4">
        <v>200794867</v>
      </c>
      <c r="C127" s="3" t="s">
        <v>432</v>
      </c>
      <c r="D127" s="3" t="s">
        <v>40</v>
      </c>
      <c r="E127" s="3" t="s">
        <v>431</v>
      </c>
      <c r="F127" s="5">
        <v>231210081494732</v>
      </c>
      <c r="G127" s="3" t="s">
        <v>27</v>
      </c>
      <c r="H127" s="10" t="s">
        <v>430</v>
      </c>
      <c r="I127" s="3" t="s">
        <v>435</v>
      </c>
      <c r="J127" s="6" t="s">
        <v>91</v>
      </c>
      <c r="K127" s="7">
        <f>800*32</f>
        <v>25600</v>
      </c>
      <c r="L127" s="25">
        <v>19167.392</v>
      </c>
    </row>
    <row r="128" spans="1:12" ht="25.5" x14ac:dyDescent="0.25">
      <c r="A128" s="3">
        <v>66</v>
      </c>
      <c r="B128" s="4">
        <v>200794867</v>
      </c>
      <c r="C128" s="3" t="s">
        <v>434</v>
      </c>
      <c r="D128" s="3" t="s">
        <v>83</v>
      </c>
      <c r="E128" s="6" t="s">
        <v>346</v>
      </c>
      <c r="F128" s="5">
        <v>231210081570960</v>
      </c>
      <c r="G128" s="3" t="s">
        <v>27</v>
      </c>
      <c r="H128" s="10" t="s">
        <v>433</v>
      </c>
      <c r="I128" s="3" t="s">
        <v>438</v>
      </c>
      <c r="J128" s="6" t="s">
        <v>49</v>
      </c>
      <c r="K128" s="7">
        <f>4910*2</f>
        <v>9820</v>
      </c>
      <c r="L128" s="25">
        <v>6383</v>
      </c>
    </row>
    <row r="129" spans="1:12" ht="38.25" x14ac:dyDescent="0.25">
      <c r="A129" s="3">
        <v>67</v>
      </c>
      <c r="B129" s="4">
        <v>200794867</v>
      </c>
      <c r="C129" s="3" t="s">
        <v>311</v>
      </c>
      <c r="D129" s="3" t="s">
        <v>312</v>
      </c>
      <c r="E129" s="3" t="s">
        <v>20</v>
      </c>
      <c r="F129" s="5">
        <v>231210081489743</v>
      </c>
      <c r="G129" s="3" t="s">
        <v>27</v>
      </c>
      <c r="H129" s="10" t="s">
        <v>309</v>
      </c>
      <c r="I129" s="3" t="s">
        <v>310</v>
      </c>
      <c r="J129" s="6" t="s">
        <v>96</v>
      </c>
      <c r="K129" s="7">
        <v>270</v>
      </c>
      <c r="L129" s="25">
        <v>220</v>
      </c>
    </row>
    <row r="130" spans="1:12" ht="25.5" x14ac:dyDescent="0.25">
      <c r="A130" s="3">
        <v>68</v>
      </c>
      <c r="B130" s="4">
        <v>200794867</v>
      </c>
      <c r="C130" s="3" t="s">
        <v>315</v>
      </c>
      <c r="D130" s="3" t="s">
        <v>127</v>
      </c>
      <c r="E130" s="3" t="s">
        <v>316</v>
      </c>
      <c r="F130" s="5">
        <v>231210081505352</v>
      </c>
      <c r="G130" s="4" t="s">
        <v>19</v>
      </c>
      <c r="H130" s="10" t="s">
        <v>313</v>
      </c>
      <c r="I130" s="3" t="s">
        <v>314</v>
      </c>
      <c r="J130" s="6" t="s">
        <v>39</v>
      </c>
      <c r="K130" s="7">
        <v>6370</v>
      </c>
      <c r="L130" s="25">
        <v>2569.84</v>
      </c>
    </row>
    <row r="131" spans="1:12" ht="25.5" x14ac:dyDescent="0.25">
      <c r="A131" s="3">
        <v>69</v>
      </c>
      <c r="B131" s="4">
        <v>200794867</v>
      </c>
      <c r="C131" s="3" t="s">
        <v>287</v>
      </c>
      <c r="D131" s="3" t="s">
        <v>103</v>
      </c>
      <c r="E131" s="3" t="s">
        <v>319</v>
      </c>
      <c r="F131" s="5">
        <v>231210081505345</v>
      </c>
      <c r="G131" s="3" t="s">
        <v>27</v>
      </c>
      <c r="H131" s="10" t="s">
        <v>317</v>
      </c>
      <c r="I131" s="3" t="s">
        <v>318</v>
      </c>
      <c r="J131" s="6" t="s">
        <v>26</v>
      </c>
      <c r="K131" s="7">
        <v>24080</v>
      </c>
      <c r="L131" s="25">
        <v>20382</v>
      </c>
    </row>
    <row r="132" spans="1:12" ht="25.5" x14ac:dyDescent="0.25">
      <c r="A132" s="3">
        <v>70</v>
      </c>
      <c r="B132" s="4">
        <v>200794867</v>
      </c>
      <c r="C132" s="3" t="s">
        <v>287</v>
      </c>
      <c r="D132" s="3" t="s">
        <v>103</v>
      </c>
      <c r="E132" s="3" t="s">
        <v>320</v>
      </c>
      <c r="F132" s="5">
        <v>231210081505346</v>
      </c>
      <c r="G132" s="3" t="s">
        <v>27</v>
      </c>
      <c r="H132" s="10" t="s">
        <v>284</v>
      </c>
      <c r="I132" s="3" t="s">
        <v>321</v>
      </c>
      <c r="J132" s="6" t="s">
        <v>39</v>
      </c>
      <c r="K132" s="7">
        <v>8411</v>
      </c>
      <c r="L132" s="25">
        <v>6998.55</v>
      </c>
    </row>
    <row r="133" spans="1:12" ht="25.5" x14ac:dyDescent="0.25">
      <c r="A133" s="3">
        <v>71</v>
      </c>
      <c r="B133" s="4">
        <v>200794867</v>
      </c>
      <c r="C133" s="3" t="s">
        <v>323</v>
      </c>
      <c r="D133" s="3" t="s">
        <v>103</v>
      </c>
      <c r="E133" s="3" t="s">
        <v>325</v>
      </c>
      <c r="F133" s="5">
        <v>231210081514141</v>
      </c>
      <c r="G133" s="3" t="s">
        <v>27</v>
      </c>
      <c r="H133" s="10" t="s">
        <v>322</v>
      </c>
      <c r="I133" s="3" t="s">
        <v>324</v>
      </c>
      <c r="J133" s="6" t="s">
        <v>49</v>
      </c>
      <c r="K133" s="7">
        <v>575</v>
      </c>
      <c r="L133" s="25">
        <v>399.99</v>
      </c>
    </row>
    <row r="134" spans="1:12" ht="25.5" x14ac:dyDescent="0.25">
      <c r="A134" s="3">
        <v>72</v>
      </c>
      <c r="B134" s="4">
        <v>200794867</v>
      </c>
      <c r="C134" s="3" t="s">
        <v>328</v>
      </c>
      <c r="D134" s="3" t="s">
        <v>63</v>
      </c>
      <c r="E134" s="3" t="s">
        <v>20</v>
      </c>
      <c r="F134" s="5">
        <v>231210081514308</v>
      </c>
      <c r="G134" s="3" t="s">
        <v>27</v>
      </c>
      <c r="H134" s="10" t="s">
        <v>326</v>
      </c>
      <c r="I134" s="3" t="s">
        <v>327</v>
      </c>
      <c r="J134" s="6" t="s">
        <v>26</v>
      </c>
      <c r="K134" s="7">
        <v>8900</v>
      </c>
      <c r="L134" s="25">
        <v>3950</v>
      </c>
    </row>
    <row r="135" spans="1:12" ht="25.5" x14ac:dyDescent="0.25">
      <c r="A135" s="3">
        <v>73</v>
      </c>
      <c r="B135" s="4">
        <v>200794867</v>
      </c>
      <c r="C135" s="3" t="s">
        <v>81</v>
      </c>
      <c r="D135" s="3" t="s">
        <v>83</v>
      </c>
      <c r="E135" s="3" t="s">
        <v>330</v>
      </c>
      <c r="F135" s="5">
        <v>231210081526775</v>
      </c>
      <c r="G135" s="3" t="s">
        <v>27</v>
      </c>
      <c r="H135" s="10" t="s">
        <v>329</v>
      </c>
      <c r="I135" s="3" t="s">
        <v>331</v>
      </c>
      <c r="J135" s="6" t="s">
        <v>91</v>
      </c>
      <c r="K135" s="7">
        <v>4000</v>
      </c>
      <c r="L135" s="25">
        <v>2800</v>
      </c>
    </row>
    <row r="136" spans="1:12" ht="25.5" x14ac:dyDescent="0.25">
      <c r="A136" s="3">
        <v>74</v>
      </c>
      <c r="B136" s="4">
        <v>200794867</v>
      </c>
      <c r="C136" s="3" t="s">
        <v>335</v>
      </c>
      <c r="D136" s="3" t="s">
        <v>337</v>
      </c>
      <c r="E136" s="3" t="s">
        <v>136</v>
      </c>
      <c r="F136" s="5">
        <v>231210081535185</v>
      </c>
      <c r="G136" s="4" t="s">
        <v>19</v>
      </c>
      <c r="H136" s="10" t="s">
        <v>334</v>
      </c>
      <c r="I136" s="3" t="s">
        <v>336</v>
      </c>
      <c r="J136" s="6" t="s">
        <v>49</v>
      </c>
      <c r="K136" s="7">
        <v>20000</v>
      </c>
      <c r="L136" s="25">
        <v>13980</v>
      </c>
    </row>
    <row r="137" spans="1:12" ht="25.5" x14ac:dyDescent="0.25">
      <c r="A137" s="3">
        <v>75</v>
      </c>
      <c r="B137" s="4">
        <v>200794867</v>
      </c>
      <c r="C137" s="3" t="s">
        <v>64</v>
      </c>
      <c r="D137" s="3" t="s">
        <v>68</v>
      </c>
      <c r="E137" s="3" t="s">
        <v>66</v>
      </c>
      <c r="F137" s="5">
        <v>231210081539746</v>
      </c>
      <c r="G137" s="4" t="s">
        <v>19</v>
      </c>
      <c r="H137" s="10" t="s">
        <v>202</v>
      </c>
      <c r="I137" s="3" t="s">
        <v>338</v>
      </c>
      <c r="J137" s="6" t="s">
        <v>67</v>
      </c>
      <c r="K137" s="7">
        <v>325</v>
      </c>
      <c r="L137" s="25">
        <v>325</v>
      </c>
    </row>
    <row r="138" spans="1:12" ht="25.5" x14ac:dyDescent="0.25">
      <c r="A138" s="3">
        <v>76</v>
      </c>
      <c r="B138" s="4">
        <v>200794867</v>
      </c>
      <c r="C138" s="3" t="s">
        <v>28</v>
      </c>
      <c r="D138" s="3" t="s">
        <v>29</v>
      </c>
      <c r="E138" s="3" t="s">
        <v>341</v>
      </c>
      <c r="F138" s="5">
        <v>231210081596073</v>
      </c>
      <c r="G138" s="4" t="s">
        <v>19</v>
      </c>
      <c r="H138" s="10" t="s">
        <v>339</v>
      </c>
      <c r="I138" s="3" t="s">
        <v>340</v>
      </c>
      <c r="J138" s="6" t="s">
        <v>49</v>
      </c>
      <c r="K138" s="7">
        <v>31500</v>
      </c>
      <c r="L138" s="25">
        <v>24465</v>
      </c>
    </row>
    <row r="139" spans="1:12" ht="25.5" x14ac:dyDescent="0.25">
      <c r="A139" s="3">
        <v>77</v>
      </c>
      <c r="B139" s="4">
        <v>200794867</v>
      </c>
      <c r="C139" s="3" t="s">
        <v>343</v>
      </c>
      <c r="D139" s="3" t="s">
        <v>52</v>
      </c>
      <c r="E139" s="3" t="s">
        <v>341</v>
      </c>
      <c r="F139" s="5">
        <v>231210081596085</v>
      </c>
      <c r="G139" s="4" t="s">
        <v>19</v>
      </c>
      <c r="H139" s="10" t="s">
        <v>342</v>
      </c>
      <c r="I139" s="3" t="s">
        <v>344</v>
      </c>
      <c r="J139" s="6" t="s">
        <v>26</v>
      </c>
      <c r="K139" s="7">
        <v>300</v>
      </c>
      <c r="L139" s="25">
        <v>216</v>
      </c>
    </row>
    <row r="140" spans="1:12" ht="25.5" x14ac:dyDescent="0.25">
      <c r="A140" s="3">
        <v>78</v>
      </c>
      <c r="B140" s="4">
        <v>200794867</v>
      </c>
      <c r="C140" s="3" t="s">
        <v>347</v>
      </c>
      <c r="D140" s="3" t="s">
        <v>183</v>
      </c>
      <c r="E140" s="3" t="s">
        <v>346</v>
      </c>
      <c r="F140" s="5">
        <v>231210081596088</v>
      </c>
      <c r="G140" s="3" t="s">
        <v>27</v>
      </c>
      <c r="H140" s="10" t="s">
        <v>345</v>
      </c>
      <c r="I140" s="3" t="s">
        <v>348</v>
      </c>
      <c r="J140" s="6" t="s">
        <v>39</v>
      </c>
      <c r="K140" s="7">
        <v>9800</v>
      </c>
      <c r="L140" s="25">
        <v>6560</v>
      </c>
    </row>
    <row r="141" spans="1:12" ht="25.5" x14ac:dyDescent="0.25">
      <c r="A141" s="3">
        <v>79</v>
      </c>
      <c r="B141" s="4">
        <v>200794867</v>
      </c>
      <c r="C141" s="3" t="s">
        <v>81</v>
      </c>
      <c r="D141" s="3" t="s">
        <v>83</v>
      </c>
      <c r="E141" s="3" t="s">
        <v>106</v>
      </c>
      <c r="F141" s="5">
        <v>231210081602562</v>
      </c>
      <c r="G141" s="3" t="s">
        <v>27</v>
      </c>
      <c r="H141" s="10" t="s">
        <v>349</v>
      </c>
      <c r="I141" s="3" t="s">
        <v>350</v>
      </c>
      <c r="J141" s="6" t="s">
        <v>32</v>
      </c>
      <c r="K141" s="7">
        <v>4280</v>
      </c>
      <c r="L141" s="25">
        <v>2700</v>
      </c>
    </row>
    <row r="142" spans="1:12" ht="25.5" x14ac:dyDescent="0.25">
      <c r="A142" s="3">
        <v>80</v>
      </c>
      <c r="B142" s="4">
        <v>200794867</v>
      </c>
      <c r="C142" s="3" t="s">
        <v>352</v>
      </c>
      <c r="D142" s="3" t="s">
        <v>29</v>
      </c>
      <c r="E142" s="3" t="s">
        <v>354</v>
      </c>
      <c r="F142" s="5">
        <v>231210081614661</v>
      </c>
      <c r="G142" s="3" t="s">
        <v>27</v>
      </c>
      <c r="H142" s="10" t="s">
        <v>351</v>
      </c>
      <c r="I142" s="3" t="s">
        <v>353</v>
      </c>
      <c r="J142" s="6" t="s">
        <v>49</v>
      </c>
      <c r="K142" s="7">
        <v>4800</v>
      </c>
      <c r="L142" s="25">
        <v>1560</v>
      </c>
    </row>
    <row r="143" spans="1:12" ht="25.5" x14ac:dyDescent="0.25">
      <c r="A143" s="3">
        <v>81</v>
      </c>
      <c r="B143" s="4">
        <v>200794867</v>
      </c>
      <c r="C143" s="3" t="s">
        <v>35</v>
      </c>
      <c r="D143" s="3" t="s">
        <v>29</v>
      </c>
      <c r="E143" s="3" t="s">
        <v>165</v>
      </c>
      <c r="F143" s="5">
        <v>231210081632328</v>
      </c>
      <c r="G143" s="4" t="s">
        <v>19</v>
      </c>
      <c r="H143" s="10" t="s">
        <v>355</v>
      </c>
      <c r="I143" s="3" t="s">
        <v>356</v>
      </c>
      <c r="J143" s="6" t="s">
        <v>49</v>
      </c>
      <c r="K143" s="7">
        <v>90000</v>
      </c>
      <c r="L143" s="25">
        <v>65800</v>
      </c>
    </row>
    <row r="144" spans="1:12" ht="25.5" x14ac:dyDescent="0.25">
      <c r="A144" s="3">
        <v>82</v>
      </c>
      <c r="B144" s="4">
        <v>200794867</v>
      </c>
      <c r="C144" s="3" t="s">
        <v>358</v>
      </c>
      <c r="D144" s="3" t="s">
        <v>88</v>
      </c>
      <c r="E144" s="3" t="s">
        <v>165</v>
      </c>
      <c r="F144" s="5">
        <v>231210081641265</v>
      </c>
      <c r="G144" s="4" t="s">
        <v>19</v>
      </c>
      <c r="H144" s="10" t="s">
        <v>357</v>
      </c>
      <c r="I144" s="3" t="s">
        <v>359</v>
      </c>
      <c r="J144" s="6" t="s">
        <v>49</v>
      </c>
      <c r="K144" s="7">
        <v>9400</v>
      </c>
      <c r="L144" s="25">
        <v>4620</v>
      </c>
    </row>
    <row r="145" spans="1:12" ht="25.5" x14ac:dyDescent="0.25">
      <c r="A145" s="3">
        <v>83</v>
      </c>
      <c r="B145" s="4">
        <v>200794867</v>
      </c>
      <c r="C145" s="3" t="s">
        <v>361</v>
      </c>
      <c r="D145" s="3" t="s">
        <v>40</v>
      </c>
      <c r="E145" s="3" t="s">
        <v>47</v>
      </c>
      <c r="F145" s="5">
        <v>231210081641264</v>
      </c>
      <c r="G145" s="4" t="s">
        <v>19</v>
      </c>
      <c r="H145" s="10" t="s">
        <v>360</v>
      </c>
      <c r="I145" s="3" t="s">
        <v>362</v>
      </c>
      <c r="J145" s="6" t="s">
        <v>49</v>
      </c>
      <c r="K145" s="7">
        <v>1200</v>
      </c>
      <c r="L145" s="25">
        <v>570</v>
      </c>
    </row>
    <row r="146" spans="1:12" ht="25.5" x14ac:dyDescent="0.25">
      <c r="A146" s="3">
        <v>84</v>
      </c>
      <c r="B146" s="4">
        <v>200794867</v>
      </c>
      <c r="C146" s="3" t="s">
        <v>64</v>
      </c>
      <c r="D146" s="3" t="s">
        <v>68</v>
      </c>
      <c r="E146" s="3" t="s">
        <v>66</v>
      </c>
      <c r="F146" s="5">
        <v>231210081643918</v>
      </c>
      <c r="G146" s="4" t="s">
        <v>19</v>
      </c>
      <c r="H146" s="10" t="s">
        <v>363</v>
      </c>
      <c r="I146" s="3" t="s">
        <v>364</v>
      </c>
      <c r="J146" s="6" t="s">
        <v>67</v>
      </c>
      <c r="K146" s="7">
        <v>325</v>
      </c>
      <c r="L146" s="25">
        <v>325</v>
      </c>
    </row>
    <row r="147" spans="1:12" ht="25.5" x14ac:dyDescent="0.25">
      <c r="A147" s="3">
        <v>85</v>
      </c>
      <c r="B147" s="4">
        <v>200794867</v>
      </c>
      <c r="C147" s="3" t="s">
        <v>366</v>
      </c>
      <c r="D147" s="3" t="s">
        <v>24</v>
      </c>
      <c r="E147" s="3" t="s">
        <v>368</v>
      </c>
      <c r="F147" s="5">
        <v>231210081647259</v>
      </c>
      <c r="G147" s="3" t="s">
        <v>27</v>
      </c>
      <c r="H147" s="10" t="s">
        <v>365</v>
      </c>
      <c r="I147" s="3" t="s">
        <v>367</v>
      </c>
      <c r="J147" s="6" t="s">
        <v>39</v>
      </c>
      <c r="K147" s="7">
        <v>1360</v>
      </c>
      <c r="L147" s="25">
        <v>878</v>
      </c>
    </row>
    <row r="148" spans="1:12" ht="25.5" x14ac:dyDescent="0.25">
      <c r="A148" s="3">
        <v>86</v>
      </c>
      <c r="B148" s="4">
        <v>200794867</v>
      </c>
      <c r="C148" s="3" t="s">
        <v>370</v>
      </c>
      <c r="D148" s="3" t="s">
        <v>40</v>
      </c>
      <c r="E148" s="3" t="s">
        <v>47</v>
      </c>
      <c r="F148" s="5">
        <v>231210081647244</v>
      </c>
      <c r="G148" s="3" t="s">
        <v>27</v>
      </c>
      <c r="H148" s="10" t="s">
        <v>369</v>
      </c>
      <c r="I148" s="3" t="s">
        <v>371</v>
      </c>
      <c r="J148" s="6" t="s">
        <v>39</v>
      </c>
      <c r="K148" s="7">
        <v>286</v>
      </c>
      <c r="L148" s="25">
        <v>156</v>
      </c>
    </row>
    <row r="149" spans="1:12" ht="25.5" x14ac:dyDescent="0.25">
      <c r="A149" s="3">
        <v>87</v>
      </c>
      <c r="B149" s="4">
        <v>200794867</v>
      </c>
      <c r="C149" s="3" t="s">
        <v>373</v>
      </c>
      <c r="D149" s="3" t="s">
        <v>40</v>
      </c>
      <c r="E149" s="3" t="s">
        <v>165</v>
      </c>
      <c r="F149" s="5">
        <v>231210081647249</v>
      </c>
      <c r="G149" s="3" t="s">
        <v>27</v>
      </c>
      <c r="H149" s="10" t="s">
        <v>372</v>
      </c>
      <c r="I149" s="3" t="s">
        <v>374</v>
      </c>
      <c r="J149" s="6" t="s">
        <v>39</v>
      </c>
      <c r="K149" s="7">
        <v>3060</v>
      </c>
      <c r="L149" s="25">
        <v>2142.4279999999999</v>
      </c>
    </row>
    <row r="150" spans="1:12" ht="25.5" x14ac:dyDescent="0.25">
      <c r="A150" s="3">
        <v>88</v>
      </c>
      <c r="B150" s="4">
        <v>200794867</v>
      </c>
      <c r="C150" s="3" t="s">
        <v>376</v>
      </c>
      <c r="D150" s="3" t="s">
        <v>131</v>
      </c>
      <c r="E150" s="3" t="s">
        <v>136</v>
      </c>
      <c r="F150" s="5">
        <v>231210081647279</v>
      </c>
      <c r="G150" s="3" t="s">
        <v>27</v>
      </c>
      <c r="H150" s="10" t="s">
        <v>375</v>
      </c>
      <c r="I150" s="3" t="s">
        <v>377</v>
      </c>
      <c r="J150" s="6" t="s">
        <v>39</v>
      </c>
      <c r="K150" s="7">
        <v>150</v>
      </c>
      <c r="L150" s="25">
        <v>64</v>
      </c>
    </row>
    <row r="151" spans="1:12" ht="25.5" x14ac:dyDescent="0.25">
      <c r="A151" s="3">
        <v>89</v>
      </c>
      <c r="B151" s="4">
        <v>200794867</v>
      </c>
      <c r="C151" s="3" t="s">
        <v>379</v>
      </c>
      <c r="D151" s="3" t="s">
        <v>24</v>
      </c>
      <c r="E151" s="3" t="s">
        <v>381</v>
      </c>
      <c r="F151" s="5">
        <v>231210081647239</v>
      </c>
      <c r="G151" s="3" t="s">
        <v>27</v>
      </c>
      <c r="H151" s="10" t="s">
        <v>378</v>
      </c>
      <c r="I151" s="3" t="s">
        <v>380</v>
      </c>
      <c r="J151" s="6" t="s">
        <v>39</v>
      </c>
      <c r="K151" s="7">
        <v>2680</v>
      </c>
      <c r="L151" s="25">
        <v>1590</v>
      </c>
    </row>
    <row r="152" spans="1:12" ht="25.5" x14ac:dyDescent="0.25">
      <c r="A152" s="3">
        <v>90</v>
      </c>
      <c r="B152" s="4">
        <v>200794867</v>
      </c>
      <c r="C152" s="3" t="s">
        <v>382</v>
      </c>
      <c r="D152" s="3" t="s">
        <v>385</v>
      </c>
      <c r="E152" s="3" t="s">
        <v>383</v>
      </c>
      <c r="F152" s="5">
        <v>231210081647248</v>
      </c>
      <c r="G152" s="3" t="s">
        <v>27</v>
      </c>
      <c r="H152" s="10" t="s">
        <v>375</v>
      </c>
      <c r="I152" s="3" t="s">
        <v>384</v>
      </c>
      <c r="J152" s="6" t="s">
        <v>39</v>
      </c>
      <c r="K152" s="7">
        <v>557.20000000000005</v>
      </c>
      <c r="L152" s="25">
        <v>257.2</v>
      </c>
    </row>
    <row r="153" spans="1:12" ht="25.5" x14ac:dyDescent="0.25">
      <c r="A153" s="3">
        <v>91</v>
      </c>
      <c r="B153" s="4">
        <v>200794867</v>
      </c>
      <c r="C153" s="3" t="s">
        <v>376</v>
      </c>
      <c r="D153" s="3" t="s">
        <v>131</v>
      </c>
      <c r="E153" s="3" t="s">
        <v>136</v>
      </c>
      <c r="F153" s="5">
        <v>231210081647285</v>
      </c>
      <c r="G153" s="3" t="s">
        <v>27</v>
      </c>
      <c r="H153" s="10" t="s">
        <v>375</v>
      </c>
      <c r="I153" s="3" t="s">
        <v>386</v>
      </c>
      <c r="J153" s="6" t="s">
        <v>39</v>
      </c>
      <c r="K153" s="7">
        <v>150</v>
      </c>
      <c r="L153" s="25">
        <v>84</v>
      </c>
    </row>
    <row r="154" spans="1:12" ht="25.5" x14ac:dyDescent="0.25">
      <c r="A154" s="3">
        <v>92</v>
      </c>
      <c r="B154" s="4">
        <v>200794867</v>
      </c>
      <c r="C154" s="3" t="s">
        <v>388</v>
      </c>
      <c r="D154" s="3" t="s">
        <v>147</v>
      </c>
      <c r="E154" s="3" t="s">
        <v>390</v>
      </c>
      <c r="F154" s="5">
        <v>231210081650831</v>
      </c>
      <c r="G154" s="3" t="s">
        <v>27</v>
      </c>
      <c r="H154" s="10" t="s">
        <v>387</v>
      </c>
      <c r="I154" s="3" t="s">
        <v>389</v>
      </c>
      <c r="J154" s="6" t="s">
        <v>49</v>
      </c>
      <c r="K154" s="7">
        <v>48000</v>
      </c>
      <c r="L154" s="25">
        <v>19952</v>
      </c>
    </row>
    <row r="155" spans="1:12" ht="25.5" x14ac:dyDescent="0.25">
      <c r="A155" s="3">
        <v>93</v>
      </c>
      <c r="B155" s="4">
        <v>200794867</v>
      </c>
      <c r="C155" s="3" t="s">
        <v>395</v>
      </c>
      <c r="D155" s="3" t="s">
        <v>103</v>
      </c>
      <c r="E155" s="3" t="s">
        <v>134</v>
      </c>
      <c r="F155" s="5">
        <v>231210081674153</v>
      </c>
      <c r="G155" s="3" t="s">
        <v>27</v>
      </c>
      <c r="H155" s="10" t="s">
        <v>393</v>
      </c>
      <c r="I155" s="3" t="s">
        <v>394</v>
      </c>
      <c r="J155" s="6" t="s">
        <v>39</v>
      </c>
      <c r="K155" s="7">
        <f>550*50</f>
        <v>27500</v>
      </c>
      <c r="L155" s="25">
        <v>19000</v>
      </c>
    </row>
    <row r="156" spans="1:12" ht="25.5" x14ac:dyDescent="0.25">
      <c r="A156" s="3">
        <v>94</v>
      </c>
      <c r="B156" s="4">
        <v>200794867</v>
      </c>
      <c r="C156" s="3" t="s">
        <v>406</v>
      </c>
      <c r="D156" s="3" t="s">
        <v>40</v>
      </c>
      <c r="E156" s="3" t="s">
        <v>405</v>
      </c>
      <c r="F156" s="5">
        <v>231210081689704</v>
      </c>
      <c r="G156" s="3" t="s">
        <v>27</v>
      </c>
      <c r="H156" s="10" t="s">
        <v>404</v>
      </c>
      <c r="I156" s="3" t="s">
        <v>407</v>
      </c>
      <c r="J156" s="6" t="s">
        <v>39</v>
      </c>
      <c r="K156" s="7">
        <f>5*2100</f>
        <v>10500</v>
      </c>
      <c r="L156" s="25">
        <v>5040</v>
      </c>
    </row>
    <row r="157" spans="1:12" ht="25.5" x14ac:dyDescent="0.25">
      <c r="A157" s="3">
        <v>95</v>
      </c>
      <c r="B157" s="4">
        <v>200794867</v>
      </c>
      <c r="C157" s="3" t="s">
        <v>84</v>
      </c>
      <c r="D157" s="3" t="s">
        <v>88</v>
      </c>
      <c r="E157" s="3" t="s">
        <v>47</v>
      </c>
      <c r="F157" s="5">
        <v>231210081724420</v>
      </c>
      <c r="G157" s="3" t="s">
        <v>27</v>
      </c>
      <c r="H157" s="10" t="s">
        <v>207</v>
      </c>
      <c r="I157" s="3" t="s">
        <v>408</v>
      </c>
      <c r="J157" s="6" t="s">
        <v>98</v>
      </c>
      <c r="K157" s="7">
        <v>1800</v>
      </c>
      <c r="L157" s="25">
        <v>1299.2</v>
      </c>
    </row>
    <row r="158" spans="1:12" ht="25.5" x14ac:dyDescent="0.25">
      <c r="A158" s="3">
        <v>96</v>
      </c>
      <c r="B158" s="4">
        <v>200794867</v>
      </c>
      <c r="C158" s="3" t="s">
        <v>84</v>
      </c>
      <c r="D158" s="3" t="s">
        <v>88</v>
      </c>
      <c r="E158" s="3" t="s">
        <v>47</v>
      </c>
      <c r="F158" s="5">
        <v>231210081724440</v>
      </c>
      <c r="G158" s="3" t="s">
        <v>27</v>
      </c>
      <c r="H158" s="10" t="s">
        <v>207</v>
      </c>
      <c r="I158" s="3" t="s">
        <v>409</v>
      </c>
      <c r="J158" s="6" t="s">
        <v>98</v>
      </c>
      <c r="K158" s="7">
        <v>1800</v>
      </c>
      <c r="L158" s="25">
        <v>1299.2</v>
      </c>
    </row>
    <row r="159" spans="1:12" ht="25.5" x14ac:dyDescent="0.25">
      <c r="A159" s="3">
        <v>97</v>
      </c>
      <c r="B159" s="4">
        <v>200794867</v>
      </c>
      <c r="C159" s="3" t="s">
        <v>84</v>
      </c>
      <c r="D159" s="3" t="s">
        <v>88</v>
      </c>
      <c r="E159" s="3" t="s">
        <v>47</v>
      </c>
      <c r="F159" s="5">
        <v>231210081724445</v>
      </c>
      <c r="G159" s="3" t="s">
        <v>27</v>
      </c>
      <c r="H159" s="10" t="s">
        <v>207</v>
      </c>
      <c r="I159" s="3" t="s">
        <v>410</v>
      </c>
      <c r="J159" s="6" t="s">
        <v>98</v>
      </c>
      <c r="K159" s="7">
        <v>2100</v>
      </c>
      <c r="L159" s="25">
        <v>1797.6</v>
      </c>
    </row>
    <row r="160" spans="1:12" ht="25.5" x14ac:dyDescent="0.25">
      <c r="A160" s="3">
        <v>98</v>
      </c>
      <c r="B160" s="4">
        <v>200794867</v>
      </c>
      <c r="C160" s="3" t="s">
        <v>84</v>
      </c>
      <c r="D160" s="3" t="s">
        <v>88</v>
      </c>
      <c r="E160" s="3" t="s">
        <v>47</v>
      </c>
      <c r="F160" s="5">
        <v>231210081724450</v>
      </c>
      <c r="G160" s="3" t="s">
        <v>27</v>
      </c>
      <c r="H160" s="10" t="s">
        <v>207</v>
      </c>
      <c r="I160" s="3" t="s">
        <v>411</v>
      </c>
      <c r="J160" s="6" t="s">
        <v>98</v>
      </c>
      <c r="K160" s="7">
        <v>2100</v>
      </c>
      <c r="L160" s="25">
        <v>1797.6</v>
      </c>
    </row>
    <row r="161" spans="1:12" ht="25.5" x14ac:dyDescent="0.25">
      <c r="A161" s="3">
        <v>99</v>
      </c>
      <c r="B161" s="4">
        <v>200794867</v>
      </c>
      <c r="C161" s="3" t="s">
        <v>64</v>
      </c>
      <c r="D161" s="3" t="s">
        <v>68</v>
      </c>
      <c r="E161" s="3" t="s">
        <v>66</v>
      </c>
      <c r="F161" s="5">
        <v>231210081742678</v>
      </c>
      <c r="G161" s="4" t="s">
        <v>19</v>
      </c>
      <c r="H161" s="10" t="s">
        <v>412</v>
      </c>
      <c r="I161" s="3" t="s">
        <v>413</v>
      </c>
      <c r="J161" s="6" t="s">
        <v>67</v>
      </c>
      <c r="K161" s="7">
        <v>325</v>
      </c>
      <c r="L161" s="25">
        <v>325</v>
      </c>
    </row>
    <row r="162" spans="1:12" ht="25.5" x14ac:dyDescent="0.25">
      <c r="A162" s="3">
        <v>100</v>
      </c>
      <c r="B162" s="4">
        <v>200794867</v>
      </c>
      <c r="C162" s="3" t="s">
        <v>415</v>
      </c>
      <c r="D162" s="3" t="s">
        <v>40</v>
      </c>
      <c r="E162" s="3" t="s">
        <v>165</v>
      </c>
      <c r="F162" s="5">
        <v>231210081773728</v>
      </c>
      <c r="G162" s="4" t="s">
        <v>19</v>
      </c>
      <c r="H162" s="10" t="s">
        <v>414</v>
      </c>
      <c r="I162" s="3" t="s">
        <v>416</v>
      </c>
      <c r="J162" s="6" t="s">
        <v>91</v>
      </c>
      <c r="K162" s="7">
        <f>4800*2</f>
        <v>9600</v>
      </c>
      <c r="L162" s="25">
        <v>8298</v>
      </c>
    </row>
    <row r="163" spans="1:12" ht="25.5" x14ac:dyDescent="0.25">
      <c r="A163" s="3">
        <v>101</v>
      </c>
      <c r="B163" s="4">
        <v>200794867</v>
      </c>
      <c r="C163" s="3" t="s">
        <v>450</v>
      </c>
      <c r="D163" s="3" t="s">
        <v>124</v>
      </c>
      <c r="E163" s="3" t="s">
        <v>165</v>
      </c>
      <c r="F163" s="5">
        <v>231210081771561</v>
      </c>
      <c r="G163" s="3" t="s">
        <v>27</v>
      </c>
      <c r="H163" s="10" t="s">
        <v>449</v>
      </c>
      <c r="I163" s="3" t="s">
        <v>451</v>
      </c>
      <c r="J163" s="6" t="s">
        <v>49</v>
      </c>
      <c r="K163" s="7">
        <f>1450*2</f>
        <v>2900</v>
      </c>
      <c r="L163" s="25">
        <v>1650</v>
      </c>
    </row>
    <row r="164" spans="1:12" ht="25.5" x14ac:dyDescent="0.25">
      <c r="A164" s="3">
        <v>102</v>
      </c>
      <c r="B164" s="4">
        <v>200794867</v>
      </c>
      <c r="C164" s="3" t="s">
        <v>450</v>
      </c>
      <c r="D164" s="3" t="s">
        <v>124</v>
      </c>
      <c r="E164" s="3" t="s">
        <v>165</v>
      </c>
      <c r="F164" s="5">
        <v>231210081771592</v>
      </c>
      <c r="G164" s="3" t="s">
        <v>27</v>
      </c>
      <c r="H164" s="10" t="s">
        <v>452</v>
      </c>
      <c r="I164" s="3" t="s">
        <v>453</v>
      </c>
      <c r="J164" s="6" t="s">
        <v>49</v>
      </c>
      <c r="K164" s="7">
        <f>1700*2</f>
        <v>3400</v>
      </c>
      <c r="L164" s="25">
        <v>2420</v>
      </c>
    </row>
    <row r="165" spans="1:12" ht="25.5" x14ac:dyDescent="0.25">
      <c r="A165" s="3">
        <v>103</v>
      </c>
      <c r="B165" s="4">
        <v>200794867</v>
      </c>
      <c r="C165" s="3" t="s">
        <v>455</v>
      </c>
      <c r="D165" s="3" t="s">
        <v>183</v>
      </c>
      <c r="E165" s="3" t="s">
        <v>20</v>
      </c>
      <c r="F165" s="5">
        <v>231210081771618</v>
      </c>
      <c r="G165" s="3" t="s">
        <v>27</v>
      </c>
      <c r="H165" s="10" t="s">
        <v>454</v>
      </c>
      <c r="I165" s="3" t="s">
        <v>456</v>
      </c>
      <c r="J165" s="6" t="s">
        <v>26</v>
      </c>
      <c r="K165" s="7">
        <v>10000</v>
      </c>
      <c r="L165" s="25">
        <v>8000.0000099999997</v>
      </c>
    </row>
    <row r="166" spans="1:12" ht="25.5" x14ac:dyDescent="0.25">
      <c r="A166" s="3">
        <v>104</v>
      </c>
      <c r="B166" s="4">
        <v>200794867</v>
      </c>
      <c r="C166" s="3" t="s">
        <v>81</v>
      </c>
      <c r="D166" s="3" t="s">
        <v>83</v>
      </c>
      <c r="E166" s="3" t="s">
        <v>265</v>
      </c>
      <c r="F166" s="5">
        <v>231210081771620</v>
      </c>
      <c r="G166" s="3" t="s">
        <v>27</v>
      </c>
      <c r="H166" s="10" t="s">
        <v>457</v>
      </c>
      <c r="I166" s="3" t="s">
        <v>458</v>
      </c>
      <c r="J166" s="6" t="s">
        <v>459</v>
      </c>
      <c r="K166" s="7">
        <f>46.8*200</f>
        <v>9360</v>
      </c>
      <c r="L166" s="25">
        <v>6800</v>
      </c>
    </row>
    <row r="167" spans="1:12" ht="25.5" x14ac:dyDescent="0.25">
      <c r="A167" s="3">
        <v>105</v>
      </c>
      <c r="B167" s="4">
        <v>200794867</v>
      </c>
      <c r="C167" s="3" t="s">
        <v>462</v>
      </c>
      <c r="D167" s="3" t="s">
        <v>179</v>
      </c>
      <c r="E167" s="3" t="s">
        <v>461</v>
      </c>
      <c r="F167" s="5">
        <v>231210081771645</v>
      </c>
      <c r="G167" s="3" t="s">
        <v>27</v>
      </c>
      <c r="H167" s="10" t="s">
        <v>460</v>
      </c>
      <c r="I167" s="3" t="s">
        <v>463</v>
      </c>
      <c r="J167" s="6" t="s">
        <v>26</v>
      </c>
      <c r="K167" s="7">
        <f>1050*4</f>
        <v>4200</v>
      </c>
      <c r="L167" s="25">
        <v>3792</v>
      </c>
    </row>
    <row r="168" spans="1:12" ht="25.5" x14ac:dyDescent="0.25">
      <c r="A168" s="3">
        <v>106</v>
      </c>
      <c r="B168" s="12">
        <v>200794867</v>
      </c>
      <c r="C168" s="11" t="s">
        <v>467</v>
      </c>
      <c r="D168" s="11" t="s">
        <v>179</v>
      </c>
      <c r="E168" s="11" t="s">
        <v>56</v>
      </c>
      <c r="F168" s="13">
        <v>231210081795829</v>
      </c>
      <c r="G168" s="11" t="s">
        <v>27</v>
      </c>
      <c r="H168" s="14" t="s">
        <v>208</v>
      </c>
      <c r="I168" s="14" t="s">
        <v>468</v>
      </c>
      <c r="J168" s="15" t="s">
        <v>44</v>
      </c>
      <c r="K168" s="16">
        <f>15*30</f>
        <v>450</v>
      </c>
      <c r="L168" s="28">
        <v>231.84</v>
      </c>
    </row>
    <row r="169" spans="1:12" ht="25.5" x14ac:dyDescent="0.25">
      <c r="A169" s="3">
        <v>107</v>
      </c>
      <c r="B169" s="12">
        <v>200794867</v>
      </c>
      <c r="C169" s="3" t="s">
        <v>506</v>
      </c>
      <c r="D169" s="3" t="s">
        <v>29</v>
      </c>
      <c r="E169" s="3" t="s">
        <v>641</v>
      </c>
      <c r="F169" s="5">
        <v>231210081805186</v>
      </c>
      <c r="G169" s="4" t="s">
        <v>19</v>
      </c>
      <c r="H169" s="10" t="s">
        <v>510</v>
      </c>
      <c r="I169" s="3" t="s">
        <v>507</v>
      </c>
      <c r="J169" s="6" t="s">
        <v>49</v>
      </c>
      <c r="K169" s="7">
        <f>12*2000</f>
        <v>24000</v>
      </c>
      <c r="L169" s="25">
        <v>20628</v>
      </c>
    </row>
    <row r="170" spans="1:12" ht="25.5" x14ac:dyDescent="0.25">
      <c r="A170" s="3">
        <v>108</v>
      </c>
      <c r="B170" s="12">
        <v>200794867</v>
      </c>
      <c r="C170" s="3" t="s">
        <v>508</v>
      </c>
      <c r="D170" s="3" t="s">
        <v>29</v>
      </c>
      <c r="E170" s="3" t="s">
        <v>641</v>
      </c>
      <c r="F170" s="5">
        <v>231210081805191</v>
      </c>
      <c r="G170" s="4" t="s">
        <v>19</v>
      </c>
      <c r="H170" s="10" t="s">
        <v>509</v>
      </c>
      <c r="I170" s="3" t="s">
        <v>511</v>
      </c>
      <c r="J170" s="6" t="s">
        <v>49</v>
      </c>
      <c r="K170" s="7">
        <f>800*12</f>
        <v>9600</v>
      </c>
      <c r="L170" s="25">
        <v>4788</v>
      </c>
    </row>
    <row r="171" spans="1:12" ht="25.5" x14ac:dyDescent="0.25">
      <c r="A171" s="3">
        <v>109</v>
      </c>
      <c r="B171" s="12">
        <v>200794867</v>
      </c>
      <c r="C171" s="3" t="s">
        <v>54</v>
      </c>
      <c r="D171" s="3" t="s">
        <v>24</v>
      </c>
      <c r="E171" s="3" t="s">
        <v>644</v>
      </c>
      <c r="F171" s="5">
        <v>231210081805210</v>
      </c>
      <c r="G171" s="4" t="s">
        <v>19</v>
      </c>
      <c r="H171" s="10" t="s">
        <v>620</v>
      </c>
      <c r="I171" s="3" t="s">
        <v>512</v>
      </c>
      <c r="J171" s="6" t="s">
        <v>39</v>
      </c>
      <c r="K171" s="7">
        <f>20*14</f>
        <v>280</v>
      </c>
      <c r="L171" s="25">
        <v>274.22000000000003</v>
      </c>
    </row>
    <row r="172" spans="1:12" ht="25.5" x14ac:dyDescent="0.25">
      <c r="A172" s="3">
        <v>110</v>
      </c>
      <c r="B172" s="12">
        <v>200794867</v>
      </c>
      <c r="C172" s="3" t="s">
        <v>33</v>
      </c>
      <c r="D172" s="3" t="s">
        <v>24</v>
      </c>
      <c r="E172" s="6" t="s">
        <v>645</v>
      </c>
      <c r="F172" s="5">
        <v>231210081805196</v>
      </c>
      <c r="G172" s="4" t="s">
        <v>19</v>
      </c>
      <c r="H172" s="10" t="s">
        <v>513</v>
      </c>
      <c r="I172" s="3" t="s">
        <v>514</v>
      </c>
      <c r="J172" s="6" t="s">
        <v>49</v>
      </c>
      <c r="K172" s="7">
        <v>2000</v>
      </c>
      <c r="L172" s="25">
        <v>1278.787</v>
      </c>
    </row>
    <row r="173" spans="1:12" ht="25.5" x14ac:dyDescent="0.25">
      <c r="A173" s="3">
        <v>111</v>
      </c>
      <c r="B173" s="12">
        <v>200794867</v>
      </c>
      <c r="C173" s="3" t="s">
        <v>343</v>
      </c>
      <c r="D173" s="3" t="s">
        <v>52</v>
      </c>
      <c r="E173" s="3" t="s">
        <v>646</v>
      </c>
      <c r="F173" s="5">
        <v>231210081805180</v>
      </c>
      <c r="G173" s="4" t="s">
        <v>19</v>
      </c>
      <c r="H173" s="10" t="s">
        <v>515</v>
      </c>
      <c r="I173" s="3" t="s">
        <v>516</v>
      </c>
      <c r="J173" s="6" t="s">
        <v>49</v>
      </c>
      <c r="K173" s="7">
        <f>36*70</f>
        <v>2520</v>
      </c>
      <c r="L173" s="25">
        <v>2016.0360000000001</v>
      </c>
    </row>
    <row r="174" spans="1:12" ht="25.5" x14ac:dyDescent="0.25">
      <c r="A174" s="3">
        <v>112</v>
      </c>
      <c r="B174" s="30">
        <v>200794867</v>
      </c>
      <c r="C174" s="3" t="s">
        <v>647</v>
      </c>
      <c r="D174" s="3" t="s">
        <v>24</v>
      </c>
      <c r="E174" s="3" t="s">
        <v>648</v>
      </c>
      <c r="F174" s="5">
        <v>231210081809703</v>
      </c>
      <c r="G174" s="11" t="s">
        <v>27</v>
      </c>
      <c r="H174" s="10" t="s">
        <v>522</v>
      </c>
      <c r="I174" s="3" t="s">
        <v>523</v>
      </c>
      <c r="J174" s="6" t="s">
        <v>26</v>
      </c>
      <c r="K174" s="7">
        <f>400*2</f>
        <v>800</v>
      </c>
      <c r="L174" s="25">
        <v>500</v>
      </c>
    </row>
    <row r="175" spans="1:12" ht="25.5" x14ac:dyDescent="0.25">
      <c r="A175" s="3">
        <v>113</v>
      </c>
      <c r="B175" s="30">
        <v>200794867</v>
      </c>
      <c r="C175" s="3" t="s">
        <v>535</v>
      </c>
      <c r="D175" s="3" t="s">
        <v>147</v>
      </c>
      <c r="E175" s="3" t="s">
        <v>536</v>
      </c>
      <c r="F175" s="5">
        <v>231210081815533</v>
      </c>
      <c r="G175" s="31" t="s">
        <v>27</v>
      </c>
      <c r="H175" s="10" t="s">
        <v>534</v>
      </c>
      <c r="I175" s="3" t="s">
        <v>537</v>
      </c>
      <c r="J175" s="6" t="s">
        <v>67</v>
      </c>
      <c r="K175" s="7">
        <f>10*871.5</f>
        <v>8715</v>
      </c>
      <c r="L175" s="25">
        <v>5500</v>
      </c>
    </row>
    <row r="176" spans="1:12" ht="25.5" x14ac:dyDescent="0.25">
      <c r="A176" s="3">
        <v>114</v>
      </c>
      <c r="B176" s="30">
        <v>200794867</v>
      </c>
      <c r="C176" s="3" t="s">
        <v>370</v>
      </c>
      <c r="D176" s="3" t="s">
        <v>40</v>
      </c>
      <c r="E176" s="3" t="s">
        <v>36</v>
      </c>
      <c r="F176" s="5">
        <v>231210081817832</v>
      </c>
      <c r="G176" s="31" t="s">
        <v>27</v>
      </c>
      <c r="H176" s="10" t="s">
        <v>538</v>
      </c>
      <c r="I176" s="3" t="s">
        <v>539</v>
      </c>
      <c r="J176" s="6" t="s">
        <v>67</v>
      </c>
      <c r="K176" s="7">
        <f>295*4</f>
        <v>1180</v>
      </c>
      <c r="L176" s="25">
        <v>768</v>
      </c>
    </row>
    <row r="177" spans="1:12" ht="25.5" x14ac:dyDescent="0.25">
      <c r="A177" s="3">
        <v>115</v>
      </c>
      <c r="B177" s="30">
        <v>200794867</v>
      </c>
      <c r="C177" s="3" t="s">
        <v>630</v>
      </c>
      <c r="D177" s="3" t="s">
        <v>24</v>
      </c>
      <c r="E177" s="3" t="s">
        <v>47</v>
      </c>
      <c r="F177" s="5">
        <v>231210081820531</v>
      </c>
      <c r="G177" s="4" t="s">
        <v>19</v>
      </c>
      <c r="H177" s="10" t="s">
        <v>629</v>
      </c>
      <c r="I177" s="3" t="s">
        <v>631</v>
      </c>
      <c r="J177" s="6" t="s">
        <v>67</v>
      </c>
      <c r="K177" s="7">
        <v>3290</v>
      </c>
      <c r="L177" s="25">
        <v>3123</v>
      </c>
    </row>
    <row r="178" spans="1:12" ht="25.5" x14ac:dyDescent="0.25">
      <c r="A178" s="3">
        <v>116</v>
      </c>
      <c r="B178" s="30">
        <v>200794867</v>
      </c>
      <c r="C178" s="3" t="s">
        <v>540</v>
      </c>
      <c r="D178" s="3" t="s">
        <v>385</v>
      </c>
      <c r="E178" s="3" t="s">
        <v>381</v>
      </c>
      <c r="F178" s="5">
        <v>231210081825943</v>
      </c>
      <c r="G178" s="31" t="s">
        <v>27</v>
      </c>
      <c r="H178" s="10" t="s">
        <v>541</v>
      </c>
      <c r="I178" s="3" t="s">
        <v>542</v>
      </c>
      <c r="J178" s="6" t="s">
        <v>67</v>
      </c>
      <c r="K178" s="7">
        <f>971.5*10</f>
        <v>9715</v>
      </c>
      <c r="L178" s="25">
        <v>6715</v>
      </c>
    </row>
    <row r="179" spans="1:12" ht="25.5" x14ac:dyDescent="0.25">
      <c r="A179" s="3">
        <v>117</v>
      </c>
      <c r="B179" s="30">
        <v>200794867</v>
      </c>
      <c r="C179" s="3" t="s">
        <v>544</v>
      </c>
      <c r="D179" s="3" t="s">
        <v>127</v>
      </c>
      <c r="E179" s="3" t="s">
        <v>381</v>
      </c>
      <c r="F179" s="5">
        <v>231210081825948</v>
      </c>
      <c r="G179" s="31" t="s">
        <v>27</v>
      </c>
      <c r="H179" s="10" t="s">
        <v>543</v>
      </c>
      <c r="I179" s="3" t="s">
        <v>545</v>
      </c>
      <c r="J179" s="6" t="s">
        <v>67</v>
      </c>
      <c r="K179" s="7">
        <f>2600*10</f>
        <v>26000</v>
      </c>
      <c r="L179" s="25">
        <v>20800.000100000001</v>
      </c>
    </row>
    <row r="180" spans="1:12" ht="25.5" x14ac:dyDescent="0.25">
      <c r="A180" s="3">
        <v>118</v>
      </c>
      <c r="B180" s="30">
        <v>200794867</v>
      </c>
      <c r="C180" s="3" t="s">
        <v>546</v>
      </c>
      <c r="D180" s="3" t="s">
        <v>549</v>
      </c>
      <c r="E180" s="3" t="s">
        <v>547</v>
      </c>
      <c r="F180" s="5">
        <v>231210081829855</v>
      </c>
      <c r="G180" s="31" t="s">
        <v>27</v>
      </c>
      <c r="H180" s="10" t="s">
        <v>541</v>
      </c>
      <c r="I180" s="3" t="s">
        <v>548</v>
      </c>
      <c r="J180" s="6" t="s">
        <v>67</v>
      </c>
      <c r="K180" s="7">
        <f>360*8</f>
        <v>2880</v>
      </c>
      <c r="L180" s="25">
        <v>1732.8</v>
      </c>
    </row>
    <row r="181" spans="1:12" ht="25.5" x14ac:dyDescent="0.25">
      <c r="A181" s="3">
        <v>119</v>
      </c>
      <c r="B181" s="30">
        <v>200794867</v>
      </c>
      <c r="C181" s="3" t="s">
        <v>550</v>
      </c>
      <c r="D181" s="3" t="s">
        <v>127</v>
      </c>
      <c r="E181" s="3" t="s">
        <v>36</v>
      </c>
      <c r="F181" s="5">
        <v>231210081829857</v>
      </c>
      <c r="G181" s="31" t="s">
        <v>27</v>
      </c>
      <c r="H181" s="10" t="s">
        <v>541</v>
      </c>
      <c r="I181" s="3" t="s">
        <v>551</v>
      </c>
      <c r="J181" s="6" t="s">
        <v>67</v>
      </c>
      <c r="K181" s="7">
        <f>1475*4</f>
        <v>5900</v>
      </c>
      <c r="L181" s="25">
        <v>4580</v>
      </c>
    </row>
    <row r="182" spans="1:12" ht="25.5" x14ac:dyDescent="0.25">
      <c r="A182" s="3">
        <v>120</v>
      </c>
      <c r="B182" s="30">
        <v>200794867</v>
      </c>
      <c r="C182" s="3" t="s">
        <v>28</v>
      </c>
      <c r="D182" s="3" t="s">
        <v>29</v>
      </c>
      <c r="E182" s="3" t="s">
        <v>73</v>
      </c>
      <c r="F182" s="5">
        <v>231210081831274</v>
      </c>
      <c r="G182" s="4" t="s">
        <v>19</v>
      </c>
      <c r="H182" s="10" t="s">
        <v>552</v>
      </c>
      <c r="I182" s="3" t="s">
        <v>553</v>
      </c>
      <c r="J182" s="6" t="s">
        <v>91</v>
      </c>
      <c r="K182" s="7">
        <f>4500*12</f>
        <v>54000</v>
      </c>
      <c r="L182" s="25">
        <v>29844</v>
      </c>
    </row>
    <row r="183" spans="1:12" ht="25.5" x14ac:dyDescent="0.25">
      <c r="A183" s="3">
        <v>121</v>
      </c>
      <c r="B183" s="30">
        <v>200794867</v>
      </c>
      <c r="C183" s="3" t="s">
        <v>84</v>
      </c>
      <c r="D183" s="3" t="s">
        <v>88</v>
      </c>
      <c r="E183" s="3" t="s">
        <v>165</v>
      </c>
      <c r="F183" s="5">
        <v>231210081850155</v>
      </c>
      <c r="G183" s="31" t="s">
        <v>27</v>
      </c>
      <c r="H183" s="10" t="s">
        <v>554</v>
      </c>
      <c r="I183" s="3" t="s">
        <v>555</v>
      </c>
      <c r="J183" s="6" t="s">
        <v>98</v>
      </c>
      <c r="K183" s="7">
        <f>1320*2</f>
        <v>2640</v>
      </c>
      <c r="L183" s="25">
        <v>1999.2</v>
      </c>
    </row>
    <row r="184" spans="1:12" ht="25.5" x14ac:dyDescent="0.25">
      <c r="A184" s="3">
        <v>122</v>
      </c>
      <c r="B184" s="30">
        <v>200794867</v>
      </c>
      <c r="C184" s="3" t="s">
        <v>556</v>
      </c>
      <c r="D184" s="3" t="s">
        <v>29</v>
      </c>
      <c r="E184" s="3" t="s">
        <v>36</v>
      </c>
      <c r="F184" s="5">
        <v>231210081850162</v>
      </c>
      <c r="G184" s="31" t="s">
        <v>27</v>
      </c>
      <c r="H184" s="10" t="s">
        <v>554</v>
      </c>
      <c r="I184" s="3" t="s">
        <v>557</v>
      </c>
      <c r="J184" s="6" t="s">
        <v>98</v>
      </c>
      <c r="K184" s="7">
        <f>850*4</f>
        <v>3400</v>
      </c>
      <c r="L184" s="25">
        <v>2464</v>
      </c>
    </row>
    <row r="185" spans="1:12" ht="25.5" x14ac:dyDescent="0.25">
      <c r="A185" s="3">
        <v>123</v>
      </c>
      <c r="B185" s="30">
        <v>200794867</v>
      </c>
      <c r="C185" s="3" t="s">
        <v>84</v>
      </c>
      <c r="D185" s="3" t="s">
        <v>88</v>
      </c>
      <c r="E185" s="3" t="s">
        <v>99</v>
      </c>
      <c r="F185" s="5">
        <v>231210081850167</v>
      </c>
      <c r="G185" s="31" t="s">
        <v>27</v>
      </c>
      <c r="H185" s="10" t="s">
        <v>554</v>
      </c>
      <c r="I185" s="3" t="s">
        <v>558</v>
      </c>
      <c r="J185" s="6" t="s">
        <v>98</v>
      </c>
      <c r="K185" s="7">
        <f>4100*3</f>
        <v>12300</v>
      </c>
      <c r="L185" s="25">
        <v>10626</v>
      </c>
    </row>
    <row r="186" spans="1:12" ht="25.5" x14ac:dyDescent="0.25">
      <c r="A186" s="3">
        <v>124</v>
      </c>
      <c r="B186" s="30">
        <v>200794867</v>
      </c>
      <c r="C186" s="3" t="s">
        <v>64</v>
      </c>
      <c r="D186" s="3" t="s">
        <v>68</v>
      </c>
      <c r="E186" s="3" t="s">
        <v>66</v>
      </c>
      <c r="F186" s="5">
        <v>231210081844935</v>
      </c>
      <c r="G186" s="4" t="s">
        <v>19</v>
      </c>
      <c r="H186" s="10" t="s">
        <v>559</v>
      </c>
      <c r="I186" s="3" t="s">
        <v>560</v>
      </c>
      <c r="J186" s="6" t="s">
        <v>26</v>
      </c>
      <c r="K186" s="7">
        <f>25*13</f>
        <v>325</v>
      </c>
      <c r="L186" s="25">
        <v>325</v>
      </c>
    </row>
    <row r="187" spans="1:12" ht="25.5" x14ac:dyDescent="0.25">
      <c r="A187" s="3">
        <v>125</v>
      </c>
      <c r="B187" s="30">
        <v>200794867</v>
      </c>
      <c r="C187" s="3" t="s">
        <v>561</v>
      </c>
      <c r="D187" s="3" t="s">
        <v>83</v>
      </c>
      <c r="E187" s="3" t="s">
        <v>20</v>
      </c>
      <c r="F187" s="5">
        <v>231210081899268</v>
      </c>
      <c r="G187" s="31" t="s">
        <v>27</v>
      </c>
      <c r="H187" s="10" t="s">
        <v>554</v>
      </c>
      <c r="I187" s="3" t="s">
        <v>562</v>
      </c>
      <c r="J187" s="6" t="s">
        <v>98</v>
      </c>
      <c r="K187" s="7">
        <v>2000</v>
      </c>
      <c r="L187" s="25">
        <v>1470</v>
      </c>
    </row>
    <row r="188" spans="1:12" ht="25.5" x14ac:dyDescent="0.25">
      <c r="A188" s="3">
        <v>126</v>
      </c>
      <c r="B188" s="30">
        <v>200794867</v>
      </c>
      <c r="C188" s="3" t="s">
        <v>81</v>
      </c>
      <c r="D188" s="3" t="s">
        <v>83</v>
      </c>
      <c r="E188" s="3" t="s">
        <v>20</v>
      </c>
      <c r="F188" s="5">
        <v>231210081912308</v>
      </c>
      <c r="G188" s="31" t="s">
        <v>27</v>
      </c>
      <c r="H188" s="10" t="s">
        <v>566</v>
      </c>
      <c r="I188" s="3" t="s">
        <v>567</v>
      </c>
      <c r="J188" s="6" t="s">
        <v>49</v>
      </c>
      <c r="K188" s="7">
        <v>800</v>
      </c>
      <c r="L188" s="25">
        <v>600</v>
      </c>
    </row>
    <row r="189" spans="1:12" ht="25.5" x14ac:dyDescent="0.25">
      <c r="A189" s="3">
        <v>127</v>
      </c>
      <c r="B189" s="30">
        <v>200794867</v>
      </c>
      <c r="C189" s="3" t="s">
        <v>428</v>
      </c>
      <c r="D189" s="3" t="s">
        <v>248</v>
      </c>
      <c r="E189" s="3" t="s">
        <v>20</v>
      </c>
      <c r="F189" s="5">
        <v>231210081912294</v>
      </c>
      <c r="G189" s="4" t="s">
        <v>19</v>
      </c>
      <c r="H189" s="10" t="s">
        <v>568</v>
      </c>
      <c r="I189" s="3" t="s">
        <v>569</v>
      </c>
      <c r="J189" s="6" t="s">
        <v>49</v>
      </c>
      <c r="K189" s="7">
        <v>13500</v>
      </c>
      <c r="L189" s="25">
        <v>10300</v>
      </c>
    </row>
    <row r="190" spans="1:12" ht="25.5" x14ac:dyDescent="0.25">
      <c r="A190" s="3">
        <v>128</v>
      </c>
      <c r="B190" s="30">
        <v>200794867</v>
      </c>
      <c r="C190" s="3" t="s">
        <v>571</v>
      </c>
      <c r="D190" s="3" t="s">
        <v>63</v>
      </c>
      <c r="E190" s="3" t="s">
        <v>20</v>
      </c>
      <c r="F190" s="5">
        <v>231210081914476</v>
      </c>
      <c r="G190" s="4" t="s">
        <v>19</v>
      </c>
      <c r="H190" s="10" t="s">
        <v>570</v>
      </c>
      <c r="I190" s="3" t="s">
        <v>572</v>
      </c>
      <c r="J190" s="6" t="s">
        <v>26</v>
      </c>
      <c r="K190" s="7">
        <v>16300</v>
      </c>
      <c r="L190" s="25">
        <v>8999</v>
      </c>
    </row>
    <row r="191" spans="1:12" ht="25.5" x14ac:dyDescent="0.25">
      <c r="A191" s="3">
        <v>129</v>
      </c>
      <c r="B191" s="30">
        <v>200794867</v>
      </c>
      <c r="C191" s="3" t="s">
        <v>574</v>
      </c>
      <c r="D191" s="3" t="s">
        <v>88</v>
      </c>
      <c r="E191" s="3" t="s">
        <v>89</v>
      </c>
      <c r="F191" s="5">
        <v>231210081950589</v>
      </c>
      <c r="G191" s="31" t="s">
        <v>27</v>
      </c>
      <c r="H191" s="10" t="s">
        <v>573</v>
      </c>
      <c r="I191" s="3" t="s">
        <v>575</v>
      </c>
      <c r="J191" s="6" t="s">
        <v>49</v>
      </c>
      <c r="K191" s="7">
        <v>8030</v>
      </c>
      <c r="L191" s="25">
        <v>6088.5</v>
      </c>
    </row>
    <row r="192" spans="1:12" ht="25.5" x14ac:dyDescent="0.25">
      <c r="A192" s="3">
        <v>130</v>
      </c>
      <c r="B192" s="30">
        <v>200794867</v>
      </c>
      <c r="C192" s="3" t="s">
        <v>576</v>
      </c>
      <c r="D192" s="3" t="s">
        <v>147</v>
      </c>
      <c r="E192" s="3" t="s">
        <v>89</v>
      </c>
      <c r="F192" s="5">
        <v>231210081950598</v>
      </c>
      <c r="G192" s="31" t="s">
        <v>27</v>
      </c>
      <c r="H192" s="10" t="s">
        <v>573</v>
      </c>
      <c r="I192" s="3" t="s">
        <v>577</v>
      </c>
      <c r="J192" s="6" t="s">
        <v>49</v>
      </c>
      <c r="K192" s="7">
        <v>730.62</v>
      </c>
      <c r="L192" s="25">
        <v>584.49599999999998</v>
      </c>
    </row>
    <row r="193" spans="1:12" ht="25.5" x14ac:dyDescent="0.25">
      <c r="A193" s="3">
        <v>131</v>
      </c>
      <c r="B193" s="30">
        <v>200794867</v>
      </c>
      <c r="C193" s="3" t="s">
        <v>579</v>
      </c>
      <c r="D193" s="3" t="s">
        <v>103</v>
      </c>
      <c r="E193" s="3" t="s">
        <v>259</v>
      </c>
      <c r="F193" s="5">
        <v>231210081951674</v>
      </c>
      <c r="G193" s="31" t="s">
        <v>27</v>
      </c>
      <c r="H193" s="10" t="s">
        <v>578</v>
      </c>
      <c r="I193" s="3" t="s">
        <v>580</v>
      </c>
      <c r="J193" s="6" t="s">
        <v>67</v>
      </c>
      <c r="K193" s="7">
        <f>78*5</f>
        <v>390</v>
      </c>
      <c r="L193" s="25">
        <v>261.11</v>
      </c>
    </row>
    <row r="194" spans="1:12" ht="25.5" x14ac:dyDescent="0.25">
      <c r="A194" s="3">
        <v>132</v>
      </c>
      <c r="B194" s="30">
        <v>200794867</v>
      </c>
      <c r="C194" s="3" t="s">
        <v>579</v>
      </c>
      <c r="D194" s="3" t="s">
        <v>103</v>
      </c>
      <c r="E194" s="3" t="s">
        <v>259</v>
      </c>
      <c r="F194" s="5">
        <v>231210081951675</v>
      </c>
      <c r="G194" s="31" t="s">
        <v>27</v>
      </c>
      <c r="H194" s="10" t="s">
        <v>578</v>
      </c>
      <c r="I194" s="3" t="s">
        <v>581</v>
      </c>
      <c r="J194" s="6" t="s">
        <v>39</v>
      </c>
      <c r="K194" s="7">
        <f>180*5</f>
        <v>900</v>
      </c>
      <c r="L194" s="25">
        <v>436.11</v>
      </c>
    </row>
    <row r="195" spans="1:12" ht="25.5" x14ac:dyDescent="0.25">
      <c r="A195" s="3">
        <v>133</v>
      </c>
      <c r="B195" s="30">
        <v>200794867</v>
      </c>
      <c r="C195" s="3" t="s">
        <v>424</v>
      </c>
      <c r="D195" s="3" t="s">
        <v>147</v>
      </c>
      <c r="E195" s="3" t="s">
        <v>286</v>
      </c>
      <c r="F195" s="5">
        <v>231210081951819</v>
      </c>
      <c r="G195" s="31" t="s">
        <v>27</v>
      </c>
      <c r="H195" s="10" t="s">
        <v>578</v>
      </c>
      <c r="I195" s="3" t="s">
        <v>582</v>
      </c>
      <c r="J195" s="6" t="s">
        <v>96</v>
      </c>
      <c r="K195" s="7">
        <f>500*10</f>
        <v>5000</v>
      </c>
      <c r="L195" s="25">
        <v>1042.22</v>
      </c>
    </row>
    <row r="196" spans="1:12" ht="25.5" x14ac:dyDescent="0.25">
      <c r="A196" s="3">
        <v>134</v>
      </c>
      <c r="B196" s="30">
        <v>200794867</v>
      </c>
      <c r="C196" s="3" t="s">
        <v>588</v>
      </c>
      <c r="D196" s="3" t="s">
        <v>24</v>
      </c>
      <c r="E196" s="3" t="s">
        <v>649</v>
      </c>
      <c r="F196" s="5">
        <v>231210081957344</v>
      </c>
      <c r="G196" s="31" t="s">
        <v>27</v>
      </c>
      <c r="H196" s="10" t="s">
        <v>587</v>
      </c>
      <c r="I196" s="3" t="s">
        <v>589</v>
      </c>
      <c r="J196" s="6" t="s">
        <v>49</v>
      </c>
      <c r="K196" s="7">
        <f>65*170</f>
        <v>11050</v>
      </c>
      <c r="L196" s="25">
        <v>4756.6000000000004</v>
      </c>
    </row>
    <row r="197" spans="1:12" ht="25.5" x14ac:dyDescent="0.25">
      <c r="A197" s="3">
        <v>135</v>
      </c>
      <c r="B197" s="30">
        <v>200794867</v>
      </c>
      <c r="C197" s="3" t="s">
        <v>633</v>
      </c>
      <c r="D197" s="3" t="s">
        <v>52</v>
      </c>
      <c r="E197" s="3" t="s">
        <v>650</v>
      </c>
      <c r="F197" s="5">
        <v>231210081957164</v>
      </c>
      <c r="G197" s="31" t="s">
        <v>27</v>
      </c>
      <c r="H197" s="10" t="s">
        <v>632</v>
      </c>
      <c r="I197" s="3" t="s">
        <v>634</v>
      </c>
      <c r="J197" s="6" t="s">
        <v>39</v>
      </c>
      <c r="K197" s="7">
        <f>280*315</f>
        <v>88200</v>
      </c>
      <c r="L197" s="25">
        <v>50337</v>
      </c>
    </row>
    <row r="198" spans="1:12" ht="25.5" x14ac:dyDescent="0.25">
      <c r="A198" s="3">
        <v>136</v>
      </c>
      <c r="B198" s="30">
        <v>200794867</v>
      </c>
      <c r="C198" s="3" t="s">
        <v>590</v>
      </c>
      <c r="D198" s="3" t="s">
        <v>179</v>
      </c>
      <c r="E198" s="3" t="s">
        <v>657</v>
      </c>
      <c r="F198" s="5">
        <v>231210081972151</v>
      </c>
      <c r="G198" s="31" t="s">
        <v>27</v>
      </c>
      <c r="H198" s="10" t="s">
        <v>578</v>
      </c>
      <c r="I198" s="3" t="s">
        <v>591</v>
      </c>
      <c r="J198" s="6" t="s">
        <v>67</v>
      </c>
      <c r="K198" s="7">
        <v>300</v>
      </c>
      <c r="L198" s="25">
        <v>198.22200000000001</v>
      </c>
    </row>
    <row r="199" spans="1:12" ht="25.5" x14ac:dyDescent="0.25">
      <c r="A199" s="3">
        <v>137</v>
      </c>
      <c r="B199" s="30">
        <v>200794867</v>
      </c>
      <c r="C199" s="3" t="s">
        <v>287</v>
      </c>
      <c r="D199" s="3" t="s">
        <v>103</v>
      </c>
      <c r="E199" s="3" t="s">
        <v>593</v>
      </c>
      <c r="F199" s="5">
        <v>231210081974475</v>
      </c>
      <c r="G199" s="31" t="s">
        <v>27</v>
      </c>
      <c r="H199" s="10" t="s">
        <v>592</v>
      </c>
      <c r="I199" s="3" t="s">
        <v>594</v>
      </c>
      <c r="J199" s="6" t="s">
        <v>39</v>
      </c>
      <c r="K199" s="7">
        <f>30*533.12</f>
        <v>15993.6</v>
      </c>
      <c r="L199" s="25">
        <v>15855.84</v>
      </c>
    </row>
    <row r="200" spans="1:12" ht="25.5" x14ac:dyDescent="0.25">
      <c r="A200" s="40">
        <v>138</v>
      </c>
      <c r="B200" s="30">
        <v>200794867</v>
      </c>
      <c r="C200" s="3" t="s">
        <v>64</v>
      </c>
      <c r="D200" s="3" t="s">
        <v>68</v>
      </c>
      <c r="E200" s="3" t="s">
        <v>66</v>
      </c>
      <c r="F200" s="5">
        <v>231210081993591</v>
      </c>
      <c r="G200" s="4" t="s">
        <v>19</v>
      </c>
      <c r="H200" s="10" t="s">
        <v>595</v>
      </c>
      <c r="I200" s="3" t="s">
        <v>596</v>
      </c>
      <c r="J200" s="6" t="s">
        <v>67</v>
      </c>
      <c r="K200" s="7">
        <v>325</v>
      </c>
      <c r="L200" s="25">
        <v>325</v>
      </c>
    </row>
    <row r="201" spans="1:12" ht="25.5" x14ac:dyDescent="0.25">
      <c r="A201" s="40">
        <v>139</v>
      </c>
      <c r="B201" s="30">
        <v>200794867</v>
      </c>
      <c r="C201" s="3" t="s">
        <v>601</v>
      </c>
      <c r="D201" s="3" t="s">
        <v>127</v>
      </c>
      <c r="E201" s="3" t="s">
        <v>600</v>
      </c>
      <c r="F201" s="5">
        <v>231210082026545</v>
      </c>
      <c r="G201" s="31" t="s">
        <v>27</v>
      </c>
      <c r="H201" s="10" t="s">
        <v>598</v>
      </c>
      <c r="I201" s="3" t="s">
        <v>599</v>
      </c>
      <c r="J201" s="6" t="s">
        <v>39</v>
      </c>
      <c r="K201" s="7">
        <v>6400</v>
      </c>
      <c r="L201" s="25">
        <v>5333.28</v>
      </c>
    </row>
    <row r="202" spans="1:12" ht="25.5" x14ac:dyDescent="0.25">
      <c r="A202" s="40">
        <v>140</v>
      </c>
      <c r="B202" s="30">
        <v>200794867</v>
      </c>
      <c r="C202" s="3" t="s">
        <v>602</v>
      </c>
      <c r="D202" s="3" t="s">
        <v>147</v>
      </c>
      <c r="E202" s="3" t="s">
        <v>134</v>
      </c>
      <c r="F202" s="5">
        <v>231210082035173</v>
      </c>
      <c r="G202" s="31" t="s">
        <v>27</v>
      </c>
      <c r="H202" s="10" t="s">
        <v>541</v>
      </c>
      <c r="I202" s="3" t="s">
        <v>603</v>
      </c>
      <c r="J202" s="6" t="s">
        <v>39</v>
      </c>
      <c r="K202" s="7">
        <v>3690</v>
      </c>
      <c r="L202" s="25">
        <v>1937.5</v>
      </c>
    </row>
    <row r="203" spans="1:12" ht="25.5" x14ac:dyDescent="0.25">
      <c r="A203" s="40">
        <v>141</v>
      </c>
      <c r="B203" s="30">
        <v>200794867</v>
      </c>
      <c r="C203" s="3" t="s">
        <v>152</v>
      </c>
      <c r="D203" s="3" t="s">
        <v>88</v>
      </c>
      <c r="E203" s="3" t="s">
        <v>102</v>
      </c>
      <c r="F203" s="5">
        <v>231210082035175</v>
      </c>
      <c r="G203" s="31" t="s">
        <v>27</v>
      </c>
      <c r="H203" s="10" t="s">
        <v>541</v>
      </c>
      <c r="I203" s="3" t="s">
        <v>604</v>
      </c>
      <c r="J203" s="6" t="s">
        <v>39</v>
      </c>
      <c r="K203" s="7">
        <f>300*8.6</f>
        <v>2580</v>
      </c>
      <c r="L203" s="25">
        <v>840</v>
      </c>
    </row>
    <row r="204" spans="1:12" ht="25.5" x14ac:dyDescent="0.25">
      <c r="A204" s="40">
        <v>142</v>
      </c>
      <c r="B204" s="30">
        <v>200794867</v>
      </c>
      <c r="C204" s="3" t="s">
        <v>606</v>
      </c>
      <c r="D204" s="3" t="s">
        <v>24</v>
      </c>
      <c r="E204" s="3" t="s">
        <v>56</v>
      </c>
      <c r="F204" s="5">
        <v>231210082035177</v>
      </c>
      <c r="G204" s="31" t="s">
        <v>27</v>
      </c>
      <c r="H204" s="10" t="s">
        <v>605</v>
      </c>
      <c r="I204" s="3" t="s">
        <v>607</v>
      </c>
      <c r="J204" s="6" t="s">
        <v>39</v>
      </c>
      <c r="K204" s="7">
        <f>30*97.6</f>
        <v>2928</v>
      </c>
      <c r="L204" s="25">
        <v>2100</v>
      </c>
    </row>
    <row r="205" spans="1:12" ht="25.5" x14ac:dyDescent="0.25">
      <c r="A205" s="40">
        <v>143</v>
      </c>
      <c r="B205" s="30">
        <v>200794867</v>
      </c>
      <c r="C205" s="3" t="s">
        <v>606</v>
      </c>
      <c r="D205" s="3" t="s">
        <v>24</v>
      </c>
      <c r="E205" s="3" t="s">
        <v>56</v>
      </c>
      <c r="F205" s="5">
        <v>231210082035178</v>
      </c>
      <c r="G205" s="31" t="s">
        <v>27</v>
      </c>
      <c r="H205" s="10" t="s">
        <v>605</v>
      </c>
      <c r="I205" s="3" t="s">
        <v>608</v>
      </c>
      <c r="J205" s="6" t="s">
        <v>39</v>
      </c>
      <c r="K205" s="7">
        <f>30*58.6</f>
        <v>1758</v>
      </c>
      <c r="L205" s="25">
        <v>990</v>
      </c>
    </row>
    <row r="206" spans="1:12" ht="25.5" x14ac:dyDescent="0.25">
      <c r="A206" s="40">
        <v>144</v>
      </c>
      <c r="B206" s="30">
        <v>200794867</v>
      </c>
      <c r="C206" s="3" t="s">
        <v>81</v>
      </c>
      <c r="D206" s="3" t="s">
        <v>83</v>
      </c>
      <c r="E206" s="3" t="s">
        <v>265</v>
      </c>
      <c r="F206" s="5">
        <v>231210082053430</v>
      </c>
      <c r="G206" s="31" t="s">
        <v>27</v>
      </c>
      <c r="H206" s="10" t="s">
        <v>612</v>
      </c>
      <c r="I206" s="3" t="s">
        <v>613</v>
      </c>
      <c r="J206" s="6" t="s">
        <v>26</v>
      </c>
      <c r="K206" s="7">
        <f>200*40</f>
        <v>8000</v>
      </c>
      <c r="L206" s="25">
        <v>4400</v>
      </c>
    </row>
    <row r="207" spans="1:12" ht="25.5" x14ac:dyDescent="0.25">
      <c r="A207" s="40">
        <v>145</v>
      </c>
      <c r="B207" s="30">
        <v>200794867</v>
      </c>
      <c r="C207" s="3" t="s">
        <v>81</v>
      </c>
      <c r="D207" s="3" t="s">
        <v>83</v>
      </c>
      <c r="E207" s="3" t="s">
        <v>330</v>
      </c>
      <c r="F207" s="5">
        <v>231210082067219</v>
      </c>
      <c r="G207" s="31" t="s">
        <v>27</v>
      </c>
      <c r="H207" s="10" t="s">
        <v>614</v>
      </c>
      <c r="I207" s="3" t="s">
        <v>615</v>
      </c>
      <c r="J207" s="6" t="s">
        <v>91</v>
      </c>
      <c r="K207" s="7">
        <f>8*500</f>
        <v>4000</v>
      </c>
      <c r="L207" s="25">
        <v>2528</v>
      </c>
    </row>
    <row r="208" spans="1:12" ht="25.5" x14ac:dyDescent="0.25">
      <c r="A208" s="40">
        <v>146</v>
      </c>
      <c r="B208" s="30">
        <v>200794867</v>
      </c>
      <c r="C208" s="3" t="s">
        <v>395</v>
      </c>
      <c r="D208" s="3" t="s">
        <v>103</v>
      </c>
      <c r="E208" s="3" t="s">
        <v>134</v>
      </c>
      <c r="F208" s="5">
        <v>231210082072515</v>
      </c>
      <c r="G208" s="4" t="s">
        <v>19</v>
      </c>
      <c r="H208" s="10" t="s">
        <v>616</v>
      </c>
      <c r="I208" s="3" t="s">
        <v>617</v>
      </c>
      <c r="J208" s="6" t="s">
        <v>39</v>
      </c>
      <c r="K208" s="7">
        <f>50*585.7</f>
        <v>29285.000000000004</v>
      </c>
      <c r="L208" s="7">
        <v>20500</v>
      </c>
    </row>
    <row r="209" spans="1:12" ht="25.5" x14ac:dyDescent="0.25">
      <c r="A209" s="40">
        <v>147</v>
      </c>
      <c r="B209" s="30">
        <v>200794867</v>
      </c>
      <c r="C209" s="3" t="s">
        <v>696</v>
      </c>
      <c r="D209" s="3" t="s">
        <v>88</v>
      </c>
      <c r="E209" s="3" t="s">
        <v>47</v>
      </c>
      <c r="F209" s="5">
        <v>231210082083111</v>
      </c>
      <c r="G209" s="33" t="s">
        <v>27</v>
      </c>
      <c r="H209" s="10" t="s">
        <v>203</v>
      </c>
      <c r="I209" s="3" t="s">
        <v>697</v>
      </c>
      <c r="J209" s="6" t="s">
        <v>91</v>
      </c>
      <c r="K209" s="7">
        <v>142.80000000000001</v>
      </c>
      <c r="L209" s="25">
        <v>95.2</v>
      </c>
    </row>
    <row r="210" spans="1:12" ht="25.5" x14ac:dyDescent="0.25">
      <c r="A210" s="40">
        <v>148</v>
      </c>
      <c r="B210" s="30">
        <v>200794867</v>
      </c>
      <c r="C210" s="3" t="s">
        <v>432</v>
      </c>
      <c r="D210" s="3" t="s">
        <v>40</v>
      </c>
      <c r="E210" s="3" t="s">
        <v>36</v>
      </c>
      <c r="F210" s="5">
        <v>231210082084399</v>
      </c>
      <c r="G210" s="33" t="s">
        <v>27</v>
      </c>
      <c r="H210" s="10" t="s">
        <v>698</v>
      </c>
      <c r="I210" s="3" t="s">
        <v>699</v>
      </c>
      <c r="J210" s="21" t="s">
        <v>49</v>
      </c>
      <c r="K210" s="7">
        <v>8000</v>
      </c>
      <c r="L210" s="25">
        <v>4360</v>
      </c>
    </row>
    <row r="211" spans="1:12" ht="25.5" x14ac:dyDescent="0.25">
      <c r="A211" s="40">
        <v>149</v>
      </c>
      <c r="B211" s="35">
        <v>200794867</v>
      </c>
      <c r="C211" s="3" t="s">
        <v>450</v>
      </c>
      <c r="D211" s="3" t="s">
        <v>124</v>
      </c>
      <c r="E211" s="3" t="s">
        <v>89</v>
      </c>
      <c r="F211" s="5">
        <v>231210082083097</v>
      </c>
      <c r="G211" s="3" t="s">
        <v>27</v>
      </c>
      <c r="H211" s="10" t="s">
        <v>788</v>
      </c>
      <c r="I211" s="3" t="s">
        <v>823</v>
      </c>
      <c r="J211" s="6" t="s">
        <v>91</v>
      </c>
      <c r="K211" s="25">
        <v>2024.4</v>
      </c>
      <c r="L211" s="25">
        <v>999.99</v>
      </c>
    </row>
    <row r="212" spans="1:12" ht="25.5" x14ac:dyDescent="0.25">
      <c r="A212" s="40">
        <v>150</v>
      </c>
      <c r="B212" s="35">
        <v>200794867</v>
      </c>
      <c r="C212" s="3" t="s">
        <v>450</v>
      </c>
      <c r="D212" s="3" t="s">
        <v>124</v>
      </c>
      <c r="E212" s="3" t="s">
        <v>89</v>
      </c>
      <c r="F212" s="5">
        <v>231210082083103</v>
      </c>
      <c r="G212" s="3" t="s">
        <v>27</v>
      </c>
      <c r="H212" s="10" t="s">
        <v>788</v>
      </c>
      <c r="I212" s="3" t="s">
        <v>824</v>
      </c>
      <c r="J212" s="6" t="s">
        <v>91</v>
      </c>
      <c r="K212" s="25">
        <v>3393.6</v>
      </c>
      <c r="L212" s="25">
        <v>1168.5</v>
      </c>
    </row>
    <row r="213" spans="1:12" ht="25.5" x14ac:dyDescent="0.25">
      <c r="A213" s="40">
        <v>151</v>
      </c>
      <c r="B213" s="30">
        <v>200794867</v>
      </c>
      <c r="C213" s="3" t="s">
        <v>705</v>
      </c>
      <c r="D213" s="3" t="s">
        <v>40</v>
      </c>
      <c r="E213" s="3" t="s">
        <v>136</v>
      </c>
      <c r="F213" s="5">
        <v>231210082094019</v>
      </c>
      <c r="G213" s="4" t="s">
        <v>19</v>
      </c>
      <c r="H213" s="10" t="s">
        <v>510</v>
      </c>
      <c r="I213" s="3" t="s">
        <v>706</v>
      </c>
      <c r="J213" s="21" t="s">
        <v>49</v>
      </c>
      <c r="K213" s="7">
        <v>41500</v>
      </c>
      <c r="L213" s="25">
        <v>28720</v>
      </c>
    </row>
    <row r="214" spans="1:12" ht="25.5" x14ac:dyDescent="0.25">
      <c r="A214" s="40">
        <v>152</v>
      </c>
      <c r="B214" s="4">
        <v>200794867</v>
      </c>
      <c r="C214" s="3" t="s">
        <v>703</v>
      </c>
      <c r="D214" s="3" t="s">
        <v>337</v>
      </c>
      <c r="E214" s="3" t="s">
        <v>136</v>
      </c>
      <c r="F214" s="5">
        <v>231210082092101</v>
      </c>
      <c r="G214" s="4" t="s">
        <v>19</v>
      </c>
      <c r="H214" s="10" t="s">
        <v>825</v>
      </c>
      <c r="I214" s="3" t="s">
        <v>704</v>
      </c>
      <c r="J214" s="6" t="s">
        <v>49</v>
      </c>
      <c r="K214" s="7">
        <v>22700</v>
      </c>
      <c r="L214" s="25">
        <v>13900</v>
      </c>
    </row>
    <row r="215" spans="1:12" ht="25.5" x14ac:dyDescent="0.25">
      <c r="A215" s="40">
        <v>153</v>
      </c>
      <c r="B215" s="4">
        <v>200794867</v>
      </c>
      <c r="C215" s="3" t="s">
        <v>81</v>
      </c>
      <c r="D215" s="3" t="s">
        <v>83</v>
      </c>
      <c r="E215" s="3" t="s">
        <v>330</v>
      </c>
      <c r="F215" s="5">
        <v>231210082111649</v>
      </c>
      <c r="G215" s="33" t="s">
        <v>27</v>
      </c>
      <c r="H215" s="3" t="s">
        <v>826</v>
      </c>
      <c r="I215" s="3" t="s">
        <v>711</v>
      </c>
      <c r="J215" s="3" t="s">
        <v>91</v>
      </c>
      <c r="K215" s="7">
        <f>8*800</f>
        <v>6400</v>
      </c>
      <c r="L215" s="25">
        <v>3840</v>
      </c>
    </row>
    <row r="216" spans="1:12" ht="25.5" x14ac:dyDescent="0.25">
      <c r="A216" s="40">
        <v>154</v>
      </c>
      <c r="B216" s="30">
        <v>200794867</v>
      </c>
      <c r="C216" s="3" t="s">
        <v>287</v>
      </c>
      <c r="D216" s="3" t="s">
        <v>103</v>
      </c>
      <c r="E216" s="3" t="s">
        <v>422</v>
      </c>
      <c r="F216" s="5">
        <v>231210082112189</v>
      </c>
      <c r="G216" s="33" t="s">
        <v>27</v>
      </c>
      <c r="H216" s="10" t="s">
        <v>317</v>
      </c>
      <c r="I216" s="3" t="s">
        <v>712</v>
      </c>
      <c r="J216" s="6" t="s">
        <v>39</v>
      </c>
      <c r="K216" s="7">
        <f>15*118</f>
        <v>1770</v>
      </c>
      <c r="L216" s="25">
        <v>1635</v>
      </c>
    </row>
    <row r="217" spans="1:12" ht="25.5" x14ac:dyDescent="0.25">
      <c r="A217" s="40">
        <v>155</v>
      </c>
      <c r="B217" s="30">
        <v>200794867</v>
      </c>
      <c r="C217" s="3" t="s">
        <v>287</v>
      </c>
      <c r="D217" s="3" t="s">
        <v>103</v>
      </c>
      <c r="E217" s="3" t="s">
        <v>714</v>
      </c>
      <c r="F217" s="5">
        <v>231210082112250</v>
      </c>
      <c r="G217" s="33" t="s">
        <v>27</v>
      </c>
      <c r="H217" s="10" t="s">
        <v>713</v>
      </c>
      <c r="I217" s="3" t="s">
        <v>715</v>
      </c>
      <c r="J217" s="6" t="s">
        <v>67</v>
      </c>
      <c r="K217" s="7">
        <f>49*354</f>
        <v>17346</v>
      </c>
      <c r="L217" s="25">
        <v>15222</v>
      </c>
    </row>
    <row r="218" spans="1:12" ht="25.5" x14ac:dyDescent="0.25">
      <c r="A218" s="40">
        <v>156</v>
      </c>
      <c r="B218" s="35">
        <v>200794867</v>
      </c>
      <c r="C218" s="3" t="s">
        <v>450</v>
      </c>
      <c r="D218" s="3" t="s">
        <v>124</v>
      </c>
      <c r="E218" s="3" t="s">
        <v>717</v>
      </c>
      <c r="F218" s="5">
        <v>231210082112320</v>
      </c>
      <c r="G218" s="33" t="s">
        <v>27</v>
      </c>
      <c r="H218" s="10" t="s">
        <v>716</v>
      </c>
      <c r="I218" s="3" t="s">
        <v>718</v>
      </c>
      <c r="J218" s="6" t="s">
        <v>91</v>
      </c>
      <c r="K218" s="7">
        <f>2268*2</f>
        <v>4536</v>
      </c>
      <c r="L218" s="25">
        <v>2500</v>
      </c>
    </row>
    <row r="219" spans="1:12" ht="25.5" x14ac:dyDescent="0.25">
      <c r="A219" s="40">
        <v>157</v>
      </c>
      <c r="B219" s="35">
        <v>200794867</v>
      </c>
      <c r="C219" s="3" t="s">
        <v>450</v>
      </c>
      <c r="D219" s="3" t="s">
        <v>124</v>
      </c>
      <c r="E219" s="3" t="s">
        <v>717</v>
      </c>
      <c r="F219" s="5">
        <v>231210082112326</v>
      </c>
      <c r="G219" s="33" t="s">
        <v>27</v>
      </c>
      <c r="H219" s="10" t="s">
        <v>203</v>
      </c>
      <c r="I219" s="3" t="s">
        <v>719</v>
      </c>
      <c r="J219" s="6" t="s">
        <v>91</v>
      </c>
      <c r="K219" s="7">
        <f>1638*2</f>
        <v>3276</v>
      </c>
      <c r="L219" s="25">
        <v>2184</v>
      </c>
    </row>
    <row r="220" spans="1:12" ht="25.5" x14ac:dyDescent="0.25">
      <c r="A220" s="40">
        <v>158</v>
      </c>
      <c r="B220" s="35">
        <v>200794867</v>
      </c>
      <c r="C220" s="3" t="s">
        <v>450</v>
      </c>
      <c r="D220" s="3" t="s">
        <v>124</v>
      </c>
      <c r="E220" s="3" t="s">
        <v>717</v>
      </c>
      <c r="F220" s="5">
        <v>231210082112330</v>
      </c>
      <c r="G220" s="33" t="s">
        <v>27</v>
      </c>
      <c r="H220" s="10" t="s">
        <v>716</v>
      </c>
      <c r="I220" s="3" t="s">
        <v>720</v>
      </c>
      <c r="J220" s="6" t="s">
        <v>91</v>
      </c>
      <c r="K220" s="7">
        <f>2016*2</f>
        <v>4032</v>
      </c>
      <c r="L220" s="25">
        <v>2200</v>
      </c>
    </row>
    <row r="221" spans="1:12" ht="25.5" x14ac:dyDescent="0.25">
      <c r="A221" s="40">
        <v>159</v>
      </c>
      <c r="B221" s="35">
        <v>200794867</v>
      </c>
      <c r="C221" s="3" t="s">
        <v>450</v>
      </c>
      <c r="D221" s="3" t="s">
        <v>124</v>
      </c>
      <c r="E221" s="3" t="s">
        <v>717</v>
      </c>
      <c r="F221" s="5">
        <v>231210082112333</v>
      </c>
      <c r="G221" s="33" t="s">
        <v>27</v>
      </c>
      <c r="H221" s="10" t="s">
        <v>721</v>
      </c>
      <c r="I221" s="3" t="s">
        <v>722</v>
      </c>
      <c r="J221" s="6" t="s">
        <v>91</v>
      </c>
      <c r="K221" s="7">
        <f>2*1512</f>
        <v>3024</v>
      </c>
      <c r="L221" s="25">
        <v>1757.1420000000001</v>
      </c>
    </row>
    <row r="222" spans="1:12" ht="25.5" x14ac:dyDescent="0.25">
      <c r="A222" s="40">
        <v>160</v>
      </c>
      <c r="B222" s="35">
        <v>200794867</v>
      </c>
      <c r="C222" s="3" t="s">
        <v>287</v>
      </c>
      <c r="D222" s="3" t="s">
        <v>103</v>
      </c>
      <c r="E222" s="3" t="s">
        <v>724</v>
      </c>
      <c r="F222" s="5">
        <v>231210082113638</v>
      </c>
      <c r="G222" s="33" t="s">
        <v>27</v>
      </c>
      <c r="H222" s="10" t="s">
        <v>723</v>
      </c>
      <c r="I222" s="3" t="s">
        <v>725</v>
      </c>
      <c r="J222" s="6" t="s">
        <v>39</v>
      </c>
      <c r="K222" s="7">
        <f>100*56</f>
        <v>5600</v>
      </c>
      <c r="L222" s="25">
        <v>4800</v>
      </c>
    </row>
    <row r="223" spans="1:12" ht="25.5" x14ac:dyDescent="0.25">
      <c r="A223" s="40">
        <v>161</v>
      </c>
      <c r="B223" s="35">
        <v>200794867</v>
      </c>
      <c r="C223" s="3" t="s">
        <v>726</v>
      </c>
      <c r="D223" s="3" t="s">
        <v>124</v>
      </c>
      <c r="E223" s="3" t="s">
        <v>165</v>
      </c>
      <c r="F223" s="5">
        <v>231210082117258</v>
      </c>
      <c r="G223" s="33" t="s">
        <v>27</v>
      </c>
      <c r="H223" s="10" t="s">
        <v>203</v>
      </c>
      <c r="I223" s="3" t="s">
        <v>727</v>
      </c>
      <c r="J223" s="6" t="s">
        <v>91</v>
      </c>
      <c r="K223" s="7">
        <f>2*2268</f>
        <v>4536</v>
      </c>
      <c r="L223" s="25">
        <v>3024</v>
      </c>
    </row>
    <row r="224" spans="1:12" ht="25.5" x14ac:dyDescent="0.25">
      <c r="A224" s="40">
        <v>162</v>
      </c>
      <c r="B224" s="35">
        <v>200794867</v>
      </c>
      <c r="C224" s="3" t="s">
        <v>450</v>
      </c>
      <c r="D224" s="3" t="s">
        <v>124</v>
      </c>
      <c r="E224" s="3" t="s">
        <v>717</v>
      </c>
      <c r="F224" s="5">
        <v>231210082117259</v>
      </c>
      <c r="G224" s="33" t="s">
        <v>27</v>
      </c>
      <c r="H224" s="10" t="s">
        <v>721</v>
      </c>
      <c r="I224" s="3" t="s">
        <v>728</v>
      </c>
      <c r="J224" s="6" t="s">
        <v>91</v>
      </c>
      <c r="K224" s="7">
        <f>2*4032</f>
        <v>8064</v>
      </c>
      <c r="L224" s="25">
        <v>4264</v>
      </c>
    </row>
    <row r="225" spans="1:12" ht="25.5" x14ac:dyDescent="0.25">
      <c r="A225" s="40">
        <v>163</v>
      </c>
      <c r="B225" s="35">
        <v>200794867</v>
      </c>
      <c r="C225" s="3" t="s">
        <v>450</v>
      </c>
      <c r="D225" s="3" t="s">
        <v>124</v>
      </c>
      <c r="E225" s="3" t="s">
        <v>717</v>
      </c>
      <c r="F225" s="5">
        <v>231210082117260</v>
      </c>
      <c r="G225" s="33" t="s">
        <v>27</v>
      </c>
      <c r="H225" s="10" t="s">
        <v>729</v>
      </c>
      <c r="I225" s="3" t="s">
        <v>730</v>
      </c>
      <c r="J225" s="6" t="s">
        <v>91</v>
      </c>
      <c r="K225" s="7">
        <f>4788*2</f>
        <v>9576</v>
      </c>
      <c r="L225" s="25">
        <v>5701.8</v>
      </c>
    </row>
    <row r="226" spans="1:12" ht="25.5" x14ac:dyDescent="0.25">
      <c r="A226" s="40">
        <v>164</v>
      </c>
      <c r="B226" s="35">
        <v>200794867</v>
      </c>
      <c r="C226" s="3" t="s">
        <v>731</v>
      </c>
      <c r="D226" s="3" t="s">
        <v>124</v>
      </c>
      <c r="E226" s="3" t="s">
        <v>51</v>
      </c>
      <c r="F226" s="5">
        <v>231210082117318</v>
      </c>
      <c r="G226" s="33" t="s">
        <v>27</v>
      </c>
      <c r="H226" s="10" t="s">
        <v>203</v>
      </c>
      <c r="I226" s="3" t="s">
        <v>732</v>
      </c>
      <c r="J226" s="21" t="s">
        <v>49</v>
      </c>
      <c r="K226" s="7">
        <f>36*65</f>
        <v>2340</v>
      </c>
      <c r="L226" s="25">
        <v>1440</v>
      </c>
    </row>
    <row r="227" spans="1:12" ht="25.5" x14ac:dyDescent="0.25">
      <c r="A227" s="40">
        <v>165</v>
      </c>
      <c r="B227" s="35">
        <v>200794867</v>
      </c>
      <c r="C227" s="3" t="s">
        <v>287</v>
      </c>
      <c r="D227" s="3" t="s">
        <v>103</v>
      </c>
      <c r="E227" s="3" t="s">
        <v>286</v>
      </c>
      <c r="F227" s="5">
        <v>231210082112615</v>
      </c>
      <c r="G227" s="33" t="s">
        <v>27</v>
      </c>
      <c r="H227" s="10" t="s">
        <v>298</v>
      </c>
      <c r="I227" s="3" t="s">
        <v>733</v>
      </c>
      <c r="J227" s="6" t="s">
        <v>39</v>
      </c>
      <c r="K227" s="7">
        <f>266*10</f>
        <v>2660</v>
      </c>
      <c r="L227" s="25">
        <v>2650</v>
      </c>
    </row>
    <row r="228" spans="1:12" ht="25.5" x14ac:dyDescent="0.25">
      <c r="A228" s="40">
        <v>166</v>
      </c>
      <c r="B228" s="35">
        <v>200794867</v>
      </c>
      <c r="C228" s="3" t="s">
        <v>799</v>
      </c>
      <c r="D228" s="3" t="s">
        <v>337</v>
      </c>
      <c r="E228" s="3" t="s">
        <v>798</v>
      </c>
      <c r="F228" s="5">
        <v>231210082111631</v>
      </c>
      <c r="G228" s="3" t="s">
        <v>27</v>
      </c>
      <c r="H228" s="10" t="s">
        <v>801</v>
      </c>
      <c r="I228" s="3" t="s">
        <v>800</v>
      </c>
      <c r="J228" s="6" t="s">
        <v>802</v>
      </c>
      <c r="K228" s="25">
        <f>7280*8</f>
        <v>58240</v>
      </c>
      <c r="L228" s="25">
        <v>56448</v>
      </c>
    </row>
    <row r="229" spans="1:12" ht="25.5" x14ac:dyDescent="0.25">
      <c r="A229" s="40">
        <v>167</v>
      </c>
      <c r="B229" s="35">
        <v>200794867</v>
      </c>
      <c r="C229" s="3" t="s">
        <v>735</v>
      </c>
      <c r="D229" s="3" t="s">
        <v>337</v>
      </c>
      <c r="E229" s="3" t="s">
        <v>737</v>
      </c>
      <c r="F229" s="5">
        <v>231210082130515</v>
      </c>
      <c r="G229" s="33" t="s">
        <v>27</v>
      </c>
      <c r="H229" s="10" t="s">
        <v>734</v>
      </c>
      <c r="I229" s="3" t="s">
        <v>736</v>
      </c>
      <c r="J229" s="21" t="s">
        <v>49</v>
      </c>
      <c r="K229" s="7">
        <f>133*1000</f>
        <v>133000</v>
      </c>
      <c r="L229" s="25">
        <v>103666</v>
      </c>
    </row>
    <row r="230" spans="1:12" ht="25.5" x14ac:dyDescent="0.25">
      <c r="A230" s="40">
        <v>168</v>
      </c>
      <c r="B230" s="4">
        <v>200794867</v>
      </c>
      <c r="C230" s="3" t="s">
        <v>742</v>
      </c>
      <c r="D230" s="3" t="s">
        <v>187</v>
      </c>
      <c r="E230" s="3" t="s">
        <v>20</v>
      </c>
      <c r="F230" s="5">
        <v>231210082152476</v>
      </c>
      <c r="G230" s="33" t="s">
        <v>27</v>
      </c>
      <c r="H230" s="10" t="s">
        <v>829</v>
      </c>
      <c r="I230" s="3" t="s">
        <v>743</v>
      </c>
      <c r="J230" s="3" t="s">
        <v>32</v>
      </c>
      <c r="K230" s="7">
        <v>4068.288</v>
      </c>
      <c r="L230" s="25">
        <v>3661.2159999999999</v>
      </c>
    </row>
    <row r="231" spans="1:12" ht="25.5" x14ac:dyDescent="0.25">
      <c r="A231" s="40">
        <v>169</v>
      </c>
      <c r="B231" s="35">
        <v>200794867</v>
      </c>
      <c r="C231" s="3" t="s">
        <v>745</v>
      </c>
      <c r="D231" s="3" t="s">
        <v>127</v>
      </c>
      <c r="E231" s="3" t="s">
        <v>330</v>
      </c>
      <c r="F231" s="5">
        <v>231210082167249</v>
      </c>
      <c r="G231" s="33" t="s">
        <v>27</v>
      </c>
      <c r="H231" s="10" t="s">
        <v>744</v>
      </c>
      <c r="I231" s="3" t="s">
        <v>746</v>
      </c>
      <c r="J231" s="21" t="s">
        <v>49</v>
      </c>
      <c r="K231" s="7">
        <f>1950*8</f>
        <v>15600</v>
      </c>
      <c r="L231" s="25">
        <v>13600</v>
      </c>
    </row>
    <row r="232" spans="1:12" ht="25.5" x14ac:dyDescent="0.25">
      <c r="A232" s="40">
        <v>170</v>
      </c>
      <c r="B232" s="35">
        <v>200794867</v>
      </c>
      <c r="C232" s="3" t="s">
        <v>148</v>
      </c>
      <c r="D232" s="3" t="s">
        <v>52</v>
      </c>
      <c r="E232" s="3" t="s">
        <v>106</v>
      </c>
      <c r="F232" s="5">
        <v>231210082172040</v>
      </c>
      <c r="G232" s="33" t="s">
        <v>27</v>
      </c>
      <c r="H232" s="10" t="s">
        <v>747</v>
      </c>
      <c r="I232" s="3" t="s">
        <v>748</v>
      </c>
      <c r="J232" s="6" t="s">
        <v>39</v>
      </c>
      <c r="K232" s="7">
        <f>48.6*100</f>
        <v>4860</v>
      </c>
      <c r="L232" s="25">
        <v>1740</v>
      </c>
    </row>
    <row r="233" spans="1:12" ht="25.5" x14ac:dyDescent="0.25">
      <c r="A233" s="40">
        <v>171</v>
      </c>
      <c r="B233" s="35">
        <v>200794867</v>
      </c>
      <c r="C233" s="3" t="s">
        <v>750</v>
      </c>
      <c r="D233" s="3" t="s">
        <v>40</v>
      </c>
      <c r="E233" s="3" t="s">
        <v>106</v>
      </c>
      <c r="F233" s="5">
        <v>231210082180328</v>
      </c>
      <c r="G233" s="3" t="s">
        <v>27</v>
      </c>
      <c r="H233" s="10" t="s">
        <v>749</v>
      </c>
      <c r="I233" s="3" t="s">
        <v>751</v>
      </c>
      <c r="J233" s="6" t="s">
        <v>39</v>
      </c>
      <c r="K233" s="7">
        <f>279.8*100</f>
        <v>27980</v>
      </c>
      <c r="L233" s="25">
        <v>10755.5</v>
      </c>
    </row>
    <row r="234" spans="1:12" ht="25.5" x14ac:dyDescent="0.25">
      <c r="A234" s="40">
        <v>172</v>
      </c>
      <c r="B234" s="35">
        <v>200794867</v>
      </c>
      <c r="C234" s="3" t="s">
        <v>64</v>
      </c>
      <c r="D234" s="3" t="s">
        <v>68</v>
      </c>
      <c r="E234" s="3" t="s">
        <v>134</v>
      </c>
      <c r="F234" s="5">
        <v>231210082200113</v>
      </c>
      <c r="G234" s="4" t="s">
        <v>19</v>
      </c>
      <c r="H234" s="10" t="s">
        <v>202</v>
      </c>
      <c r="I234" s="3" t="s">
        <v>756</v>
      </c>
      <c r="J234" s="6" t="s">
        <v>67</v>
      </c>
      <c r="K234" s="7">
        <f>16.2*50</f>
        <v>810</v>
      </c>
      <c r="L234" s="25">
        <v>650</v>
      </c>
    </row>
    <row r="235" spans="1:12" ht="25.5" x14ac:dyDescent="0.25">
      <c r="A235" s="40">
        <v>173</v>
      </c>
      <c r="B235" s="35">
        <v>200794867</v>
      </c>
      <c r="C235" s="3" t="s">
        <v>797</v>
      </c>
      <c r="D235" s="3" t="s">
        <v>29</v>
      </c>
      <c r="E235" s="3" t="s">
        <v>136</v>
      </c>
      <c r="F235" s="5">
        <v>231210082211143</v>
      </c>
      <c r="G235" s="3" t="s">
        <v>27</v>
      </c>
      <c r="H235" s="10" t="s">
        <v>796</v>
      </c>
      <c r="I235" s="3" t="s">
        <v>822</v>
      </c>
      <c r="J235" s="6" t="s">
        <v>91</v>
      </c>
      <c r="K235" s="25">
        <f>630*10</f>
        <v>6300</v>
      </c>
      <c r="L235" s="25">
        <v>4850</v>
      </c>
    </row>
    <row r="236" spans="1:12" ht="25.5" x14ac:dyDescent="0.25">
      <c r="A236" s="40">
        <v>174</v>
      </c>
      <c r="B236" s="35">
        <v>200794867</v>
      </c>
      <c r="C236" s="3" t="s">
        <v>81</v>
      </c>
      <c r="D236" s="3" t="s">
        <v>83</v>
      </c>
      <c r="E236" s="3" t="s">
        <v>265</v>
      </c>
      <c r="F236" s="5">
        <v>231210082213473</v>
      </c>
      <c r="G236" s="3" t="s">
        <v>27</v>
      </c>
      <c r="H236" s="10" t="s">
        <v>612</v>
      </c>
      <c r="I236" s="3" t="s">
        <v>803</v>
      </c>
      <c r="J236" s="6" t="s">
        <v>32</v>
      </c>
      <c r="K236" s="25">
        <f>200*42.8</f>
        <v>8560</v>
      </c>
      <c r="L236" s="25">
        <v>4400</v>
      </c>
    </row>
    <row r="237" spans="1:12" ht="25.5" x14ac:dyDescent="0.25">
      <c r="A237" s="40">
        <v>175</v>
      </c>
      <c r="B237" s="35">
        <v>200794867</v>
      </c>
      <c r="C237" s="3" t="s">
        <v>759</v>
      </c>
      <c r="D237" s="3" t="s">
        <v>124</v>
      </c>
      <c r="E237" s="3" t="s">
        <v>47</v>
      </c>
      <c r="F237" s="5">
        <v>231210082211153</v>
      </c>
      <c r="G237" s="4" t="s">
        <v>19</v>
      </c>
      <c r="H237" s="10" t="s">
        <v>758</v>
      </c>
      <c r="I237" s="3" t="s">
        <v>760</v>
      </c>
      <c r="J237" s="6" t="s">
        <v>67</v>
      </c>
      <c r="K237" s="25">
        <v>35000</v>
      </c>
      <c r="L237" s="25">
        <v>35000</v>
      </c>
    </row>
    <row r="238" spans="1:12" ht="38.25" x14ac:dyDescent="0.25">
      <c r="A238" s="40">
        <v>176</v>
      </c>
      <c r="B238" s="4">
        <v>200794867</v>
      </c>
      <c r="C238" s="3" t="s">
        <v>311</v>
      </c>
      <c r="D238" s="3" t="s">
        <v>312</v>
      </c>
      <c r="E238" s="3" t="s">
        <v>20</v>
      </c>
      <c r="F238" s="5">
        <v>231210082207719</v>
      </c>
      <c r="G238" s="3" t="s">
        <v>27</v>
      </c>
      <c r="H238" s="10" t="s">
        <v>520</v>
      </c>
      <c r="I238" s="3" t="s">
        <v>757</v>
      </c>
      <c r="J238" s="6" t="s">
        <v>96</v>
      </c>
      <c r="K238" s="7">
        <v>400</v>
      </c>
      <c r="L238" s="25">
        <v>330</v>
      </c>
    </row>
    <row r="239" spans="1:12" ht="25.5" x14ac:dyDescent="0.25">
      <c r="A239" s="40">
        <v>177</v>
      </c>
      <c r="B239" s="35">
        <v>200794867</v>
      </c>
      <c r="C239" s="3" t="s">
        <v>761</v>
      </c>
      <c r="D239" s="3" t="s">
        <v>29</v>
      </c>
      <c r="E239" s="3" t="s">
        <v>89</v>
      </c>
      <c r="F239" s="5">
        <v>231210082219800</v>
      </c>
      <c r="G239" s="36" t="s">
        <v>19</v>
      </c>
      <c r="H239" s="10" t="s">
        <v>763</v>
      </c>
      <c r="I239" s="3" t="s">
        <v>762</v>
      </c>
      <c r="J239" s="21" t="s">
        <v>49</v>
      </c>
      <c r="K239" s="25">
        <v>16000</v>
      </c>
      <c r="L239" s="25">
        <v>11948</v>
      </c>
    </row>
    <row r="240" spans="1:12" ht="25.5" x14ac:dyDescent="0.25">
      <c r="A240" s="40">
        <v>178</v>
      </c>
      <c r="B240" s="35">
        <v>200794867</v>
      </c>
      <c r="C240" s="3" t="s">
        <v>768</v>
      </c>
      <c r="D240" s="3" t="s">
        <v>179</v>
      </c>
      <c r="E240" s="3" t="s">
        <v>330</v>
      </c>
      <c r="F240" s="5">
        <v>231210082255806</v>
      </c>
      <c r="G240" s="3" t="s">
        <v>27</v>
      </c>
      <c r="H240" s="10" t="s">
        <v>767</v>
      </c>
      <c r="I240" s="3" t="s">
        <v>769</v>
      </c>
      <c r="J240" s="6" t="s">
        <v>39</v>
      </c>
      <c r="K240" s="25">
        <f>8*125.8</f>
        <v>1006.4</v>
      </c>
      <c r="L240" s="25">
        <v>376</v>
      </c>
    </row>
    <row r="241" spans="1:12" ht="25.5" x14ac:dyDescent="0.25">
      <c r="A241" s="40">
        <v>179</v>
      </c>
      <c r="B241" s="35">
        <v>200794867</v>
      </c>
      <c r="C241" s="3" t="s">
        <v>771</v>
      </c>
      <c r="D241" s="3" t="s">
        <v>179</v>
      </c>
      <c r="E241" s="3" t="s">
        <v>134</v>
      </c>
      <c r="F241" s="5">
        <v>231210082255808</v>
      </c>
      <c r="G241" s="3" t="s">
        <v>27</v>
      </c>
      <c r="H241" s="10" t="s">
        <v>770</v>
      </c>
      <c r="I241" s="3" t="s">
        <v>772</v>
      </c>
      <c r="J241" s="6" t="s">
        <v>39</v>
      </c>
      <c r="K241" s="25">
        <f>50*52</f>
        <v>2600</v>
      </c>
      <c r="L241" s="25">
        <v>1050</v>
      </c>
    </row>
    <row r="242" spans="1:12" ht="25.5" x14ac:dyDescent="0.25">
      <c r="A242" s="40">
        <v>180</v>
      </c>
      <c r="B242" s="35">
        <v>200794867</v>
      </c>
      <c r="C242" s="3" t="s">
        <v>773</v>
      </c>
      <c r="D242" s="3" t="s">
        <v>131</v>
      </c>
      <c r="E242" s="3" t="s">
        <v>36</v>
      </c>
      <c r="F242" s="5">
        <v>231210082277687</v>
      </c>
      <c r="G242" s="36" t="s">
        <v>19</v>
      </c>
      <c r="H242" s="10" t="s">
        <v>541</v>
      </c>
      <c r="I242" s="3" t="s">
        <v>774</v>
      </c>
      <c r="J242" s="6" t="s">
        <v>39</v>
      </c>
      <c r="K242" s="25">
        <f>4*650</f>
        <v>2600</v>
      </c>
      <c r="L242" s="25">
        <v>1066.8</v>
      </c>
    </row>
    <row r="243" spans="1:12" ht="38.25" x14ac:dyDescent="0.25">
      <c r="A243" s="40">
        <v>181</v>
      </c>
      <c r="B243" s="35">
        <v>200794867</v>
      </c>
      <c r="C243" s="3" t="s">
        <v>775</v>
      </c>
      <c r="D243" s="3" t="s">
        <v>638</v>
      </c>
      <c r="E243" s="3" t="s">
        <v>777</v>
      </c>
      <c r="F243" s="5">
        <v>231210082282380</v>
      </c>
      <c r="G243" s="3" t="s">
        <v>27</v>
      </c>
      <c r="H243" s="10" t="s">
        <v>784</v>
      </c>
      <c r="I243" s="3" t="s">
        <v>776</v>
      </c>
      <c r="J243" s="6" t="s">
        <v>67</v>
      </c>
      <c r="K243" s="25">
        <f>9*180</f>
        <v>1620</v>
      </c>
      <c r="L243" s="25">
        <v>805.5</v>
      </c>
    </row>
    <row r="244" spans="1:12" ht="25.5" x14ac:dyDescent="0.25">
      <c r="A244" s="40">
        <v>182</v>
      </c>
      <c r="B244" s="35">
        <v>200794867</v>
      </c>
      <c r="C244" s="3" t="s">
        <v>781</v>
      </c>
      <c r="D244" s="3" t="s">
        <v>52</v>
      </c>
      <c r="E244" s="3" t="s">
        <v>780</v>
      </c>
      <c r="F244" s="5">
        <v>231210082298910</v>
      </c>
      <c r="G244" s="36" t="s">
        <v>19</v>
      </c>
      <c r="H244" s="10" t="s">
        <v>783</v>
      </c>
      <c r="I244" s="3" t="s">
        <v>782</v>
      </c>
      <c r="J244" s="21" t="s">
        <v>49</v>
      </c>
      <c r="K244" s="25">
        <f>250*560</f>
        <v>140000</v>
      </c>
      <c r="L244" s="25">
        <v>103488</v>
      </c>
    </row>
    <row r="245" spans="1:12" ht="25.5" x14ac:dyDescent="0.25">
      <c r="A245" s="40">
        <v>183</v>
      </c>
      <c r="B245" s="4">
        <v>200794867</v>
      </c>
      <c r="C245" s="3" t="s">
        <v>64</v>
      </c>
      <c r="D245" s="3" t="s">
        <v>68</v>
      </c>
      <c r="E245" s="3" t="s">
        <v>787</v>
      </c>
      <c r="F245" s="5">
        <v>231210082287863</v>
      </c>
      <c r="G245" s="4" t="s">
        <v>19</v>
      </c>
      <c r="H245" s="10" t="s">
        <v>785</v>
      </c>
      <c r="I245" s="3" t="s">
        <v>786</v>
      </c>
      <c r="J245" s="6" t="s">
        <v>26</v>
      </c>
      <c r="K245" s="25">
        <f>528*3.55</f>
        <v>1874.3999999999999</v>
      </c>
      <c r="L245" s="25">
        <v>1874.4</v>
      </c>
    </row>
    <row r="246" spans="1:12" ht="15" customHeight="1" x14ac:dyDescent="0.25">
      <c r="A246" s="56" t="s">
        <v>9</v>
      </c>
      <c r="B246" s="57"/>
      <c r="C246" s="57"/>
      <c r="D246" s="57"/>
      <c r="E246" s="57"/>
      <c r="F246" s="57"/>
      <c r="G246" s="57"/>
      <c r="H246" s="57"/>
      <c r="I246" s="57"/>
      <c r="J246" s="57"/>
      <c r="K246" s="23"/>
      <c r="L246" s="26"/>
    </row>
    <row r="247" spans="1:12" ht="25.5" x14ac:dyDescent="0.25">
      <c r="A247" s="17">
        <v>1</v>
      </c>
      <c r="B247" s="18">
        <v>200794867</v>
      </c>
      <c r="C247" s="17" t="s">
        <v>45</v>
      </c>
      <c r="D247" s="17" t="s">
        <v>48</v>
      </c>
      <c r="E247" s="17" t="s">
        <v>47</v>
      </c>
      <c r="F247" s="19">
        <v>231210081219282</v>
      </c>
      <c r="G247" s="18" t="s">
        <v>19</v>
      </c>
      <c r="H247" s="20" t="s">
        <v>224</v>
      </c>
      <c r="I247" s="17" t="s">
        <v>46</v>
      </c>
      <c r="J247" s="21" t="s">
        <v>49</v>
      </c>
      <c r="K247" s="22">
        <v>6700</v>
      </c>
      <c r="L247" s="29">
        <v>5485.2</v>
      </c>
    </row>
    <row r="248" spans="1:12" ht="25.5" x14ac:dyDescent="0.25">
      <c r="A248" s="3">
        <v>2</v>
      </c>
      <c r="B248" s="4">
        <v>200794867</v>
      </c>
      <c r="C248" s="3" t="s">
        <v>180</v>
      </c>
      <c r="D248" s="3" t="s">
        <v>183</v>
      </c>
      <c r="E248" s="3" t="s">
        <v>181</v>
      </c>
      <c r="F248" s="5">
        <v>231210081245865</v>
      </c>
      <c r="G248" s="4" t="s">
        <v>27</v>
      </c>
      <c r="H248" s="10" t="s">
        <v>225</v>
      </c>
      <c r="I248" s="3" t="s">
        <v>182</v>
      </c>
      <c r="J248" s="6" t="s">
        <v>184</v>
      </c>
      <c r="K248" s="7">
        <f>1980*3</f>
        <v>5940</v>
      </c>
      <c r="L248" s="25">
        <v>5550</v>
      </c>
    </row>
    <row r="249" spans="1:12" ht="38.25" x14ac:dyDescent="0.25">
      <c r="A249" s="3">
        <v>3</v>
      </c>
      <c r="B249" s="4">
        <v>200794867</v>
      </c>
      <c r="C249" s="3" t="s">
        <v>57</v>
      </c>
      <c r="D249" s="3" t="s">
        <v>60</v>
      </c>
      <c r="E249" s="3" t="s">
        <v>58</v>
      </c>
      <c r="F249" s="5">
        <v>231210081255855</v>
      </c>
      <c r="G249" s="4" t="s">
        <v>27</v>
      </c>
      <c r="H249" s="10" t="s">
        <v>226</v>
      </c>
      <c r="I249" s="3" t="s">
        <v>59</v>
      </c>
      <c r="J249" s="6" t="s">
        <v>26</v>
      </c>
      <c r="K249" s="7">
        <f>15*483</f>
        <v>7245</v>
      </c>
      <c r="L249" s="25">
        <v>2366.6999999999998</v>
      </c>
    </row>
    <row r="250" spans="1:12" ht="25.5" x14ac:dyDescent="0.25">
      <c r="A250" s="32">
        <v>4</v>
      </c>
      <c r="B250" s="4">
        <v>200794867</v>
      </c>
      <c r="C250" s="3" t="s">
        <v>45</v>
      </c>
      <c r="D250" s="3" t="s">
        <v>48</v>
      </c>
      <c r="E250" s="3" t="s">
        <v>47</v>
      </c>
      <c r="F250" s="5">
        <v>231210081275024</v>
      </c>
      <c r="G250" s="4" t="s">
        <v>19</v>
      </c>
      <c r="H250" s="10" t="s">
        <v>69</v>
      </c>
      <c r="I250" s="3" t="s">
        <v>70</v>
      </c>
      <c r="J250" s="6" t="s">
        <v>49</v>
      </c>
      <c r="K250" s="7">
        <v>7732</v>
      </c>
      <c r="L250" s="25">
        <v>6460</v>
      </c>
    </row>
    <row r="251" spans="1:12" ht="25.5" x14ac:dyDescent="0.25">
      <c r="A251" s="3">
        <v>5</v>
      </c>
      <c r="B251" s="4">
        <v>200794867</v>
      </c>
      <c r="C251" s="3" t="s">
        <v>190</v>
      </c>
      <c r="D251" s="3" t="s">
        <v>192</v>
      </c>
      <c r="E251" s="3" t="s">
        <v>102</v>
      </c>
      <c r="F251" s="5">
        <v>231210081338193</v>
      </c>
      <c r="G251" s="3" t="s">
        <v>27</v>
      </c>
      <c r="H251" s="10" t="s">
        <v>227</v>
      </c>
      <c r="I251" s="3" t="s">
        <v>191</v>
      </c>
      <c r="J251" s="6" t="s">
        <v>49</v>
      </c>
      <c r="K251" s="7">
        <f>39.5*300</f>
        <v>11850</v>
      </c>
      <c r="L251" s="25">
        <v>7800</v>
      </c>
    </row>
    <row r="252" spans="1:12" ht="25.5" x14ac:dyDescent="0.25">
      <c r="A252" s="3">
        <v>6</v>
      </c>
      <c r="B252" s="4">
        <v>200794867</v>
      </c>
      <c r="C252" s="3" t="s">
        <v>100</v>
      </c>
      <c r="D252" s="3" t="s">
        <v>103</v>
      </c>
      <c r="E252" s="3" t="s">
        <v>102</v>
      </c>
      <c r="F252" s="5">
        <v>231210081339079</v>
      </c>
      <c r="G252" s="3" t="s">
        <v>27</v>
      </c>
      <c r="H252" s="10" t="s">
        <v>228</v>
      </c>
      <c r="I252" s="3" t="s">
        <v>101</v>
      </c>
      <c r="J252" s="6" t="s">
        <v>49</v>
      </c>
      <c r="K252" s="7">
        <f>50*300</f>
        <v>15000</v>
      </c>
      <c r="L252" s="25">
        <v>10470</v>
      </c>
    </row>
    <row r="253" spans="1:12" ht="25.5" x14ac:dyDescent="0.25">
      <c r="A253" s="32">
        <v>7</v>
      </c>
      <c r="B253" s="4">
        <v>200794867</v>
      </c>
      <c r="C253" s="3" t="s">
        <v>155</v>
      </c>
      <c r="D253" s="3" t="s">
        <v>48</v>
      </c>
      <c r="E253" s="3" t="s">
        <v>47</v>
      </c>
      <c r="F253" s="5">
        <v>231210081383497</v>
      </c>
      <c r="G253" s="3" t="s">
        <v>27</v>
      </c>
      <c r="H253" s="10" t="s">
        <v>229</v>
      </c>
      <c r="I253" s="3" t="s">
        <v>156</v>
      </c>
      <c r="J253" s="6" t="s">
        <v>49</v>
      </c>
      <c r="K253" s="7">
        <v>764.5</v>
      </c>
      <c r="L253" s="25">
        <v>509.6</v>
      </c>
    </row>
    <row r="254" spans="1:12" ht="25.5" x14ac:dyDescent="0.25">
      <c r="A254" s="3">
        <v>8</v>
      </c>
      <c r="B254" s="4">
        <v>200794867</v>
      </c>
      <c r="C254" s="3" t="s">
        <v>157</v>
      </c>
      <c r="D254" s="3" t="s">
        <v>48</v>
      </c>
      <c r="E254" s="3" t="s">
        <v>47</v>
      </c>
      <c r="F254" s="5">
        <v>231210081383489</v>
      </c>
      <c r="G254" s="3" t="s">
        <v>27</v>
      </c>
      <c r="H254" s="10" t="s">
        <v>229</v>
      </c>
      <c r="I254" s="3" t="s">
        <v>159</v>
      </c>
      <c r="J254" s="6" t="s">
        <v>49</v>
      </c>
      <c r="K254" s="7">
        <v>680.5</v>
      </c>
      <c r="L254" s="25">
        <v>453.6</v>
      </c>
    </row>
    <row r="255" spans="1:12" ht="25.5" x14ac:dyDescent="0.25">
      <c r="A255" s="3">
        <v>9</v>
      </c>
      <c r="B255" s="4">
        <v>200794867</v>
      </c>
      <c r="C255" s="3" t="s">
        <v>160</v>
      </c>
      <c r="D255" s="3" t="s">
        <v>48</v>
      </c>
      <c r="E255" s="3" t="s">
        <v>47</v>
      </c>
      <c r="F255" s="5">
        <v>231210081383512</v>
      </c>
      <c r="G255" s="3" t="s">
        <v>27</v>
      </c>
      <c r="H255" s="10" t="s">
        <v>229</v>
      </c>
      <c r="I255" s="3" t="s">
        <v>158</v>
      </c>
      <c r="J255" s="6" t="s">
        <v>49</v>
      </c>
      <c r="K255" s="7">
        <v>630</v>
      </c>
      <c r="L255" s="25">
        <v>420</v>
      </c>
    </row>
    <row r="256" spans="1:12" ht="25.5" x14ac:dyDescent="0.25">
      <c r="A256" s="32">
        <v>10</v>
      </c>
      <c r="B256" s="4">
        <v>200794867</v>
      </c>
      <c r="C256" s="3" t="s">
        <v>161</v>
      </c>
      <c r="D256" s="3" t="s">
        <v>48</v>
      </c>
      <c r="E256" s="3" t="s">
        <v>165</v>
      </c>
      <c r="F256" s="5">
        <v>231210081383492</v>
      </c>
      <c r="G256" s="3" t="s">
        <v>27</v>
      </c>
      <c r="H256" s="10" t="s">
        <v>229</v>
      </c>
      <c r="I256" s="3" t="s">
        <v>166</v>
      </c>
      <c r="J256" s="6" t="s">
        <v>49</v>
      </c>
      <c r="K256" s="7">
        <v>680.5</v>
      </c>
      <c r="L256" s="25">
        <v>907.2</v>
      </c>
    </row>
    <row r="257" spans="1:12" ht="25.5" x14ac:dyDescent="0.25">
      <c r="A257" s="3">
        <v>11</v>
      </c>
      <c r="B257" s="4">
        <v>200794867</v>
      </c>
      <c r="C257" s="3" t="s">
        <v>157</v>
      </c>
      <c r="D257" s="3" t="s">
        <v>48</v>
      </c>
      <c r="E257" s="3" t="s">
        <v>47</v>
      </c>
      <c r="F257" s="5">
        <v>231210081383490</v>
      </c>
      <c r="G257" s="3" t="s">
        <v>27</v>
      </c>
      <c r="H257" s="10" t="s">
        <v>229</v>
      </c>
      <c r="I257" s="3" t="s">
        <v>167</v>
      </c>
      <c r="J257" s="6" t="s">
        <v>49</v>
      </c>
      <c r="K257" s="7">
        <v>680.5</v>
      </c>
      <c r="L257" s="25">
        <v>453.6</v>
      </c>
    </row>
    <row r="258" spans="1:12" ht="25.5" x14ac:dyDescent="0.25">
      <c r="A258" s="3">
        <v>12</v>
      </c>
      <c r="B258" s="4">
        <v>200794867</v>
      </c>
      <c r="C258" s="3" t="s">
        <v>162</v>
      </c>
      <c r="D258" s="3" t="s">
        <v>48</v>
      </c>
      <c r="E258" s="3" t="s">
        <v>99</v>
      </c>
      <c r="F258" s="5">
        <v>231210081383504</v>
      </c>
      <c r="G258" s="3" t="s">
        <v>27</v>
      </c>
      <c r="H258" s="10" t="s">
        <v>229</v>
      </c>
      <c r="I258" s="3" t="s">
        <v>168</v>
      </c>
      <c r="J258" s="6" t="s">
        <v>49</v>
      </c>
      <c r="K258" s="7">
        <f>848.5*3</f>
        <v>2545.5</v>
      </c>
      <c r="L258" s="25">
        <v>1696.8</v>
      </c>
    </row>
    <row r="259" spans="1:12" ht="25.5" x14ac:dyDescent="0.25">
      <c r="A259" s="32">
        <v>13</v>
      </c>
      <c r="B259" s="4">
        <v>200794867</v>
      </c>
      <c r="C259" s="3" t="s">
        <v>163</v>
      </c>
      <c r="D259" s="3" t="s">
        <v>48</v>
      </c>
      <c r="E259" s="3" t="s">
        <v>47</v>
      </c>
      <c r="F259" s="5">
        <v>231210081383508</v>
      </c>
      <c r="G259" s="3" t="s">
        <v>27</v>
      </c>
      <c r="H259" s="10" t="s">
        <v>229</v>
      </c>
      <c r="I259" s="3" t="s">
        <v>169</v>
      </c>
      <c r="J259" s="6" t="s">
        <v>49</v>
      </c>
      <c r="K259" s="7">
        <v>596.5</v>
      </c>
      <c r="L259" s="25">
        <v>397.6</v>
      </c>
    </row>
    <row r="260" spans="1:12" ht="25.5" x14ac:dyDescent="0.25">
      <c r="A260" s="3">
        <v>14</v>
      </c>
      <c r="B260" s="4">
        <v>200794867</v>
      </c>
      <c r="C260" s="3" t="s">
        <v>160</v>
      </c>
      <c r="D260" s="3" t="s">
        <v>48</v>
      </c>
      <c r="E260" s="3" t="s">
        <v>47</v>
      </c>
      <c r="F260" s="5">
        <v>231210081383514</v>
      </c>
      <c r="G260" s="3" t="s">
        <v>27</v>
      </c>
      <c r="H260" s="10" t="s">
        <v>229</v>
      </c>
      <c r="I260" s="3" t="s">
        <v>170</v>
      </c>
      <c r="J260" s="6" t="s">
        <v>49</v>
      </c>
      <c r="K260" s="7">
        <v>596.5</v>
      </c>
      <c r="L260" s="25">
        <v>397.6</v>
      </c>
    </row>
    <row r="261" spans="1:12" ht="25.5" x14ac:dyDescent="0.25">
      <c r="A261" s="3">
        <v>15</v>
      </c>
      <c r="B261" s="4">
        <v>200794867</v>
      </c>
      <c r="C261" s="3" t="s">
        <v>164</v>
      </c>
      <c r="D261" s="3" t="s">
        <v>48</v>
      </c>
      <c r="E261" s="3" t="s">
        <v>47</v>
      </c>
      <c r="F261" s="5">
        <v>231210081383518</v>
      </c>
      <c r="G261" s="3" t="s">
        <v>27</v>
      </c>
      <c r="H261" s="10" t="s">
        <v>229</v>
      </c>
      <c r="I261" s="3" t="s">
        <v>171</v>
      </c>
      <c r="J261" s="6" t="s">
        <v>49</v>
      </c>
      <c r="K261" s="7">
        <v>562.5</v>
      </c>
      <c r="L261" s="25">
        <v>375.2</v>
      </c>
    </row>
    <row r="262" spans="1:12" ht="25.5" x14ac:dyDescent="0.25">
      <c r="A262" s="32">
        <v>16</v>
      </c>
      <c r="B262" s="4">
        <v>200794867</v>
      </c>
      <c r="C262" s="3" t="s">
        <v>45</v>
      </c>
      <c r="D262" s="3" t="s">
        <v>48</v>
      </c>
      <c r="E262" s="3" t="s">
        <v>47</v>
      </c>
      <c r="F262" s="5">
        <v>231210081431856</v>
      </c>
      <c r="G262" s="4" t="s">
        <v>19</v>
      </c>
      <c r="H262" s="10" t="s">
        <v>270</v>
      </c>
      <c r="I262" s="3" t="s">
        <v>271</v>
      </c>
      <c r="J262" s="6" t="s">
        <v>49</v>
      </c>
      <c r="K262" s="7">
        <v>7500</v>
      </c>
      <c r="L262" s="25">
        <v>5525.2</v>
      </c>
    </row>
    <row r="263" spans="1:12" ht="25.5" x14ac:dyDescent="0.25">
      <c r="A263" s="3">
        <v>17</v>
      </c>
      <c r="B263" s="4">
        <v>200794867</v>
      </c>
      <c r="C263" s="3" t="s">
        <v>293</v>
      </c>
      <c r="D263" s="3" t="s">
        <v>294</v>
      </c>
      <c r="E263" s="3" t="s">
        <v>20</v>
      </c>
      <c r="F263" s="5">
        <v>231210081452794</v>
      </c>
      <c r="G263" s="4" t="s">
        <v>19</v>
      </c>
      <c r="H263" s="10" t="s">
        <v>291</v>
      </c>
      <c r="I263" s="3" t="s">
        <v>292</v>
      </c>
      <c r="J263" s="6" t="s">
        <v>21</v>
      </c>
      <c r="K263" s="7">
        <v>1131.2</v>
      </c>
      <c r="L263" s="25">
        <v>1064</v>
      </c>
    </row>
    <row r="264" spans="1:12" ht="25.5" x14ac:dyDescent="0.25">
      <c r="A264" s="3">
        <v>18</v>
      </c>
      <c r="B264" s="4">
        <v>200794867</v>
      </c>
      <c r="C264" s="3" t="s">
        <v>45</v>
      </c>
      <c r="D264" s="3" t="s">
        <v>48</v>
      </c>
      <c r="E264" s="3" t="s">
        <v>99</v>
      </c>
      <c r="F264" s="5">
        <v>231210081527430</v>
      </c>
      <c r="G264" s="4" t="s">
        <v>19</v>
      </c>
      <c r="H264" s="10" t="s">
        <v>332</v>
      </c>
      <c r="I264" s="3" t="s">
        <v>333</v>
      </c>
      <c r="J264" s="6" t="s">
        <v>49</v>
      </c>
      <c r="K264" s="7">
        <v>22500</v>
      </c>
      <c r="L264" s="25">
        <v>16674</v>
      </c>
    </row>
    <row r="265" spans="1:12" ht="38.25" x14ac:dyDescent="0.25">
      <c r="A265" s="32">
        <v>19</v>
      </c>
      <c r="B265" s="4">
        <v>200794867</v>
      </c>
      <c r="C265" s="3" t="s">
        <v>311</v>
      </c>
      <c r="D265" s="3" t="s">
        <v>312</v>
      </c>
      <c r="E265" s="3" t="s">
        <v>20</v>
      </c>
      <c r="F265" s="5">
        <v>231210081666737</v>
      </c>
      <c r="G265" s="3" t="s">
        <v>27</v>
      </c>
      <c r="H265" s="10" t="s">
        <v>391</v>
      </c>
      <c r="I265" s="3" t="s">
        <v>392</v>
      </c>
      <c r="J265" s="6" t="s">
        <v>96</v>
      </c>
      <c r="K265" s="7">
        <v>330</v>
      </c>
      <c r="L265" s="25">
        <v>300</v>
      </c>
    </row>
    <row r="266" spans="1:12" ht="25.5" x14ac:dyDescent="0.25">
      <c r="A266" s="3">
        <v>20</v>
      </c>
      <c r="B266" s="4">
        <v>200794867</v>
      </c>
      <c r="C266" s="3" t="s">
        <v>623</v>
      </c>
      <c r="D266" s="3" t="s">
        <v>337</v>
      </c>
      <c r="E266" s="3" t="s">
        <v>390</v>
      </c>
      <c r="F266" s="5">
        <v>231210081688663</v>
      </c>
      <c r="G266" s="4" t="s">
        <v>19</v>
      </c>
      <c r="H266" s="10" t="s">
        <v>621</v>
      </c>
      <c r="I266" s="3" t="s">
        <v>622</v>
      </c>
      <c r="J266" s="6" t="s">
        <v>49</v>
      </c>
      <c r="K266" s="7">
        <f>649.6*16</f>
        <v>10393.6</v>
      </c>
      <c r="L266" s="25">
        <v>5918.9759999999997</v>
      </c>
    </row>
    <row r="267" spans="1:12" ht="25.5" x14ac:dyDescent="0.25">
      <c r="A267" s="3">
        <v>21</v>
      </c>
      <c r="B267" s="4">
        <v>200794867</v>
      </c>
      <c r="C267" s="3" t="s">
        <v>624</v>
      </c>
      <c r="D267" s="3" t="s">
        <v>337</v>
      </c>
      <c r="E267" s="3" t="s">
        <v>390</v>
      </c>
      <c r="F267" s="5">
        <v>231210081688646</v>
      </c>
      <c r="G267" s="4" t="s">
        <v>19</v>
      </c>
      <c r="H267" s="10" t="s">
        <v>621</v>
      </c>
      <c r="I267" s="3" t="s">
        <v>625</v>
      </c>
      <c r="J267" s="6" t="s">
        <v>49</v>
      </c>
      <c r="K267" s="7">
        <f>72.8*16</f>
        <v>1164.8</v>
      </c>
      <c r="L267" s="25">
        <v>718.59199999999998</v>
      </c>
    </row>
    <row r="268" spans="1:12" ht="25.5" x14ac:dyDescent="0.25">
      <c r="A268" s="32">
        <v>22</v>
      </c>
      <c r="B268" s="4">
        <v>200794867</v>
      </c>
      <c r="C268" s="3" t="s">
        <v>626</v>
      </c>
      <c r="D268" s="3" t="s">
        <v>337</v>
      </c>
      <c r="E268" s="3" t="s">
        <v>658</v>
      </c>
      <c r="F268" s="5">
        <v>231210081688642</v>
      </c>
      <c r="G268" s="4" t="s">
        <v>19</v>
      </c>
      <c r="H268" s="10" t="s">
        <v>621</v>
      </c>
      <c r="I268" s="3" t="s">
        <v>627</v>
      </c>
      <c r="J268" s="6" t="s">
        <v>49</v>
      </c>
      <c r="K268" s="7">
        <f>358.4*16</f>
        <v>5734.4</v>
      </c>
      <c r="L268" s="25">
        <v>3678.9760000000001</v>
      </c>
    </row>
    <row r="269" spans="1:12" ht="25.5" x14ac:dyDescent="0.25">
      <c r="A269" s="3">
        <v>23</v>
      </c>
      <c r="B269" s="4">
        <v>200794867</v>
      </c>
      <c r="C269" s="3" t="s">
        <v>656</v>
      </c>
      <c r="D269" s="3" t="s">
        <v>337</v>
      </c>
      <c r="E269" s="3" t="s">
        <v>659</v>
      </c>
      <c r="F269" s="5">
        <v>231210081688672</v>
      </c>
      <c r="G269" s="4" t="s">
        <v>19</v>
      </c>
      <c r="H269" s="10" t="s">
        <v>621</v>
      </c>
      <c r="I269" s="3" t="s">
        <v>628</v>
      </c>
      <c r="J269" s="6" t="s">
        <v>49</v>
      </c>
      <c r="K269" s="7">
        <f>280*26</f>
        <v>7280</v>
      </c>
      <c r="L269" s="25">
        <v>3899.1680000000001</v>
      </c>
    </row>
    <row r="270" spans="1:12" ht="25.5" x14ac:dyDescent="0.25">
      <c r="A270" s="3">
        <v>24</v>
      </c>
      <c r="B270" s="4">
        <v>200794867</v>
      </c>
      <c r="C270" s="3" t="s">
        <v>397</v>
      </c>
      <c r="D270" s="3" t="s">
        <v>385</v>
      </c>
      <c r="E270" s="3" t="s">
        <v>399</v>
      </c>
      <c r="F270" s="5">
        <v>231210081688675</v>
      </c>
      <c r="G270" s="4" t="s">
        <v>19</v>
      </c>
      <c r="H270" s="10" t="s">
        <v>396</v>
      </c>
      <c r="I270" s="3" t="s">
        <v>398</v>
      </c>
      <c r="J270" s="6" t="s">
        <v>49</v>
      </c>
      <c r="K270" s="7">
        <f>392*26</f>
        <v>10192</v>
      </c>
      <c r="L270" s="25">
        <v>10192</v>
      </c>
    </row>
    <row r="271" spans="1:12" ht="25.5" x14ac:dyDescent="0.25">
      <c r="A271" s="32">
        <v>25</v>
      </c>
      <c r="B271" s="4">
        <v>200794867</v>
      </c>
      <c r="C271" s="3" t="s">
        <v>400</v>
      </c>
      <c r="D271" s="3" t="s">
        <v>385</v>
      </c>
      <c r="E271" s="3" t="s">
        <v>401</v>
      </c>
      <c r="F271" s="5">
        <v>231210081688671</v>
      </c>
      <c r="G271" s="4" t="s">
        <v>19</v>
      </c>
      <c r="H271" s="10" t="s">
        <v>396</v>
      </c>
      <c r="I271" s="3" t="s">
        <v>402</v>
      </c>
      <c r="J271" s="6" t="s">
        <v>49</v>
      </c>
      <c r="K271" s="7">
        <f>392*16</f>
        <v>6272</v>
      </c>
      <c r="L271" s="25">
        <v>6272</v>
      </c>
    </row>
    <row r="272" spans="1:12" ht="25.5" x14ac:dyDescent="0.25">
      <c r="A272" s="3">
        <v>26</v>
      </c>
      <c r="B272" s="4">
        <v>200794867</v>
      </c>
      <c r="C272" s="3" t="s">
        <v>397</v>
      </c>
      <c r="D272" s="3" t="s">
        <v>385</v>
      </c>
      <c r="E272" s="3" t="s">
        <v>401</v>
      </c>
      <c r="F272" s="5">
        <v>231210081688651</v>
      </c>
      <c r="G272" s="4" t="s">
        <v>19</v>
      </c>
      <c r="H272" s="10" t="s">
        <v>396</v>
      </c>
      <c r="I272" s="3" t="s">
        <v>403</v>
      </c>
      <c r="J272" s="6" t="s">
        <v>49</v>
      </c>
      <c r="K272" s="7">
        <f>280*16</f>
        <v>4480</v>
      </c>
      <c r="L272" s="25">
        <v>4480</v>
      </c>
    </row>
    <row r="273" spans="1:12" ht="25.5" x14ac:dyDescent="0.25">
      <c r="A273" s="3">
        <v>27</v>
      </c>
      <c r="B273" s="4">
        <v>200794867</v>
      </c>
      <c r="C273" s="3" t="s">
        <v>180</v>
      </c>
      <c r="D273" s="3" t="s">
        <v>183</v>
      </c>
      <c r="E273" s="3" t="s">
        <v>442</v>
      </c>
      <c r="F273" s="5">
        <v>231210081691112</v>
      </c>
      <c r="G273" s="3" t="s">
        <v>27</v>
      </c>
      <c r="H273" s="10" t="s">
        <v>225</v>
      </c>
      <c r="I273" s="3" t="s">
        <v>443</v>
      </c>
      <c r="J273" s="6" t="s">
        <v>444</v>
      </c>
      <c r="K273" s="7">
        <f>2100*7</f>
        <v>14700</v>
      </c>
      <c r="L273" s="25">
        <v>14000</v>
      </c>
    </row>
    <row r="274" spans="1:12" ht="25.5" x14ac:dyDescent="0.25">
      <c r="A274" s="32">
        <v>28</v>
      </c>
      <c r="B274" s="4">
        <v>200794867</v>
      </c>
      <c r="C274" s="3" t="s">
        <v>445</v>
      </c>
      <c r="D274" s="3" t="s">
        <v>183</v>
      </c>
      <c r="E274" s="3" t="s">
        <v>446</v>
      </c>
      <c r="F274" s="5">
        <v>231210081702349</v>
      </c>
      <c r="G274" s="3" t="s">
        <v>27</v>
      </c>
      <c r="H274" s="10" t="s">
        <v>225</v>
      </c>
      <c r="I274" s="3" t="s">
        <v>447</v>
      </c>
      <c r="J274" s="6" t="s">
        <v>448</v>
      </c>
      <c r="K274" s="7">
        <f>6*1377.75</f>
        <v>8266.5</v>
      </c>
      <c r="L274" s="25">
        <v>7740</v>
      </c>
    </row>
    <row r="275" spans="1:12" ht="25.5" x14ac:dyDescent="0.25">
      <c r="A275" s="3">
        <v>29</v>
      </c>
      <c r="B275" s="4">
        <v>200794867</v>
      </c>
      <c r="C275" s="3" t="s">
        <v>651</v>
      </c>
      <c r="D275" s="3" t="s">
        <v>52</v>
      </c>
      <c r="E275" s="3" t="s">
        <v>466</v>
      </c>
      <c r="F275" s="5">
        <v>231210081795638</v>
      </c>
      <c r="G275" s="3" t="s">
        <v>27</v>
      </c>
      <c r="H275" s="10" t="s">
        <v>464</v>
      </c>
      <c r="I275" s="10" t="s">
        <v>465</v>
      </c>
      <c r="J275" s="6" t="s">
        <v>67</v>
      </c>
      <c r="K275" s="7">
        <f>320*9</f>
        <v>2880</v>
      </c>
      <c r="L275" s="25">
        <v>1980</v>
      </c>
    </row>
    <row r="276" spans="1:12" ht="25.5" x14ac:dyDescent="0.25">
      <c r="A276" s="3">
        <v>30</v>
      </c>
      <c r="B276" s="4">
        <v>200794867</v>
      </c>
      <c r="C276" s="3" t="s">
        <v>517</v>
      </c>
      <c r="D276" s="3" t="s">
        <v>127</v>
      </c>
      <c r="E276" s="3" t="s">
        <v>648</v>
      </c>
      <c r="F276" s="5">
        <v>231210081805275</v>
      </c>
      <c r="G276" s="3" t="s">
        <v>27</v>
      </c>
      <c r="H276" s="10" t="s">
        <v>518</v>
      </c>
      <c r="I276" s="3" t="s">
        <v>519</v>
      </c>
      <c r="J276" s="6" t="s">
        <v>91</v>
      </c>
      <c r="K276" s="7">
        <f>2500*2</f>
        <v>5000</v>
      </c>
      <c r="L276" s="25">
        <v>3808</v>
      </c>
    </row>
    <row r="277" spans="1:12" ht="38.25" x14ac:dyDescent="0.25">
      <c r="A277" s="32">
        <v>31</v>
      </c>
      <c r="B277" s="4">
        <v>200794867</v>
      </c>
      <c r="C277" s="3" t="s">
        <v>311</v>
      </c>
      <c r="D277" s="3" t="s">
        <v>312</v>
      </c>
      <c r="E277" s="3" t="s">
        <v>20</v>
      </c>
      <c r="F277" s="5">
        <v>231210081806330</v>
      </c>
      <c r="G277" s="3" t="s">
        <v>27</v>
      </c>
      <c r="H277" s="10" t="s">
        <v>520</v>
      </c>
      <c r="I277" s="3" t="s">
        <v>521</v>
      </c>
      <c r="J277" s="6" t="s">
        <v>96</v>
      </c>
      <c r="K277" s="7">
        <v>400</v>
      </c>
      <c r="L277" s="25">
        <v>330</v>
      </c>
    </row>
    <row r="278" spans="1:12" ht="25.5" x14ac:dyDescent="0.25">
      <c r="A278" s="3">
        <v>32</v>
      </c>
      <c r="B278" s="4">
        <v>200794867</v>
      </c>
      <c r="C278" s="3" t="s">
        <v>190</v>
      </c>
      <c r="D278" s="3" t="s">
        <v>192</v>
      </c>
      <c r="E278" s="3" t="s">
        <v>652</v>
      </c>
      <c r="F278" s="5">
        <v>231210081811378</v>
      </c>
      <c r="G278" s="4" t="s">
        <v>19</v>
      </c>
      <c r="H278" s="10" t="s">
        <v>524</v>
      </c>
      <c r="I278" s="3" t="s">
        <v>525</v>
      </c>
      <c r="J278" s="6" t="s">
        <v>91</v>
      </c>
      <c r="K278" s="7">
        <f>10*3870</f>
        <v>38700</v>
      </c>
      <c r="L278" s="25">
        <v>35000</v>
      </c>
    </row>
    <row r="279" spans="1:12" ht="25.5" x14ac:dyDescent="0.25">
      <c r="A279" s="3">
        <v>33</v>
      </c>
      <c r="B279" s="4">
        <v>200794867</v>
      </c>
      <c r="C279" s="3" t="s">
        <v>527</v>
      </c>
      <c r="D279" s="3" t="s">
        <v>52</v>
      </c>
      <c r="E279" s="3" t="s">
        <v>259</v>
      </c>
      <c r="F279" s="5">
        <v>231210081812318</v>
      </c>
      <c r="G279" s="4" t="s">
        <v>19</v>
      </c>
      <c r="H279" s="10" t="s">
        <v>526</v>
      </c>
      <c r="I279" s="3" t="s">
        <v>528</v>
      </c>
      <c r="J279" s="6" t="s">
        <v>459</v>
      </c>
      <c r="K279" s="7">
        <f>6000*5</f>
        <v>30000</v>
      </c>
      <c r="L279" s="25">
        <v>25500</v>
      </c>
    </row>
    <row r="280" spans="1:12" ht="25.5" x14ac:dyDescent="0.25">
      <c r="A280" s="32">
        <v>34</v>
      </c>
      <c r="B280" s="4">
        <v>200794867</v>
      </c>
      <c r="C280" s="3" t="s">
        <v>527</v>
      </c>
      <c r="D280" s="3" t="s">
        <v>52</v>
      </c>
      <c r="E280" s="3" t="s">
        <v>259</v>
      </c>
      <c r="F280" s="5">
        <v>231210081812326</v>
      </c>
      <c r="G280" s="4" t="s">
        <v>19</v>
      </c>
      <c r="H280" s="10" t="s">
        <v>529</v>
      </c>
      <c r="I280" s="3" t="s">
        <v>530</v>
      </c>
      <c r="J280" s="6" t="s">
        <v>459</v>
      </c>
      <c r="K280" s="7">
        <f>6000*5</f>
        <v>30000</v>
      </c>
      <c r="L280" s="25">
        <v>25500</v>
      </c>
    </row>
    <row r="281" spans="1:12" ht="38.25" x14ac:dyDescent="0.25">
      <c r="A281" s="3">
        <v>35</v>
      </c>
      <c r="B281" s="4">
        <v>200794867</v>
      </c>
      <c r="C281" s="3" t="s">
        <v>531</v>
      </c>
      <c r="D281" s="3" t="s">
        <v>533</v>
      </c>
      <c r="E281" s="3" t="s">
        <v>259</v>
      </c>
      <c r="F281" s="5">
        <v>231210081812328</v>
      </c>
      <c r="G281" s="4" t="s">
        <v>19</v>
      </c>
      <c r="H281" s="10" t="s">
        <v>526</v>
      </c>
      <c r="I281" s="3" t="s">
        <v>532</v>
      </c>
      <c r="J281" s="6" t="s">
        <v>459</v>
      </c>
      <c r="K281" s="7">
        <f>5*4100</f>
        <v>20500</v>
      </c>
      <c r="L281" s="25">
        <v>18000</v>
      </c>
    </row>
    <row r="282" spans="1:12" ht="25.5" x14ac:dyDescent="0.25">
      <c r="A282" s="3">
        <v>36</v>
      </c>
      <c r="B282" s="4">
        <v>200794867</v>
      </c>
      <c r="C282" s="3" t="s">
        <v>563</v>
      </c>
      <c r="D282" s="3" t="s">
        <v>131</v>
      </c>
      <c r="E282" s="3" t="s">
        <v>653</v>
      </c>
      <c r="F282" s="5">
        <v>231210081912180</v>
      </c>
      <c r="G282" s="3" t="s">
        <v>27</v>
      </c>
      <c r="H282" s="10" t="s">
        <v>564</v>
      </c>
      <c r="I282" s="3" t="s">
        <v>565</v>
      </c>
      <c r="J282" s="6" t="s">
        <v>26</v>
      </c>
      <c r="K282" s="7">
        <f>255*42</f>
        <v>10710</v>
      </c>
      <c r="L282" s="25">
        <v>6510</v>
      </c>
    </row>
    <row r="283" spans="1:12" ht="25.5" x14ac:dyDescent="0.25">
      <c r="A283" s="32">
        <v>37</v>
      </c>
      <c r="B283" s="4">
        <v>200794867</v>
      </c>
      <c r="C283" s="3" t="s">
        <v>618</v>
      </c>
      <c r="D283" s="3" t="s">
        <v>77</v>
      </c>
      <c r="E283" s="3" t="s">
        <v>20</v>
      </c>
      <c r="F283" s="5">
        <v>231210081945005</v>
      </c>
      <c r="G283" s="3" t="s">
        <v>27</v>
      </c>
      <c r="H283" s="10" t="s">
        <v>660</v>
      </c>
      <c r="I283" s="3" t="s">
        <v>661</v>
      </c>
      <c r="J283" s="6" t="s">
        <v>26</v>
      </c>
      <c r="K283" s="7">
        <v>8249</v>
      </c>
      <c r="L283" s="25">
        <v>6700</v>
      </c>
    </row>
    <row r="284" spans="1:12" ht="25.5" x14ac:dyDescent="0.25">
      <c r="A284" s="32">
        <v>38</v>
      </c>
      <c r="B284" s="4">
        <v>200794867</v>
      </c>
      <c r="C284" s="3" t="s">
        <v>654</v>
      </c>
      <c r="D284" s="3" t="s">
        <v>585</v>
      </c>
      <c r="E284" s="3" t="s">
        <v>586</v>
      </c>
      <c r="F284" s="5">
        <v>231210081956630</v>
      </c>
      <c r="G284" s="4" t="s">
        <v>19</v>
      </c>
      <c r="H284" s="10" t="s">
        <v>583</v>
      </c>
      <c r="I284" s="3" t="s">
        <v>584</v>
      </c>
      <c r="J284" s="6" t="s">
        <v>67</v>
      </c>
      <c r="K284" s="7">
        <f>198*44</f>
        <v>8712</v>
      </c>
      <c r="L284" s="25">
        <v>5741.12</v>
      </c>
    </row>
    <row r="285" spans="1:12" ht="38.25" x14ac:dyDescent="0.25">
      <c r="A285" s="39">
        <v>39</v>
      </c>
      <c r="B285" s="4">
        <v>200794867</v>
      </c>
      <c r="C285" s="3" t="s">
        <v>635</v>
      </c>
      <c r="D285" s="3" t="s">
        <v>638</v>
      </c>
      <c r="E285" s="3" t="s">
        <v>640</v>
      </c>
      <c r="F285" s="5">
        <v>231210081989290</v>
      </c>
      <c r="G285" s="3" t="s">
        <v>27</v>
      </c>
      <c r="H285" s="10" t="s">
        <v>636</v>
      </c>
      <c r="I285" s="3" t="s">
        <v>637</v>
      </c>
      <c r="J285" s="6" t="s">
        <v>49</v>
      </c>
      <c r="K285" s="7">
        <f>25*205</f>
        <v>5125</v>
      </c>
      <c r="L285" s="25">
        <v>2625</v>
      </c>
    </row>
    <row r="286" spans="1:12" ht="25.5" x14ac:dyDescent="0.25">
      <c r="A286" s="39">
        <v>40</v>
      </c>
      <c r="B286" s="4">
        <v>200794867</v>
      </c>
      <c r="C286" s="3" t="s">
        <v>618</v>
      </c>
      <c r="D286" s="3" t="s">
        <v>77</v>
      </c>
      <c r="E286" s="3" t="s">
        <v>20</v>
      </c>
      <c r="F286" s="5">
        <v>231210081995103</v>
      </c>
      <c r="G286" s="3" t="s">
        <v>27</v>
      </c>
      <c r="H286" s="10" t="s">
        <v>619</v>
      </c>
      <c r="I286" s="3" t="s">
        <v>639</v>
      </c>
      <c r="J286" s="6" t="s">
        <v>26</v>
      </c>
      <c r="K286" s="7">
        <v>8249</v>
      </c>
      <c r="L286" s="25">
        <v>6500</v>
      </c>
    </row>
    <row r="287" spans="1:12" ht="38.25" x14ac:dyDescent="0.25">
      <c r="A287" s="39">
        <v>41</v>
      </c>
      <c r="B287" s="30">
        <v>200794867</v>
      </c>
      <c r="C287" s="3" t="s">
        <v>311</v>
      </c>
      <c r="D287" s="3" t="s">
        <v>312</v>
      </c>
      <c r="E287" s="3" t="s">
        <v>20</v>
      </c>
      <c r="F287" s="5">
        <v>231210082001081</v>
      </c>
      <c r="G287" s="31" t="s">
        <v>27</v>
      </c>
      <c r="H287" s="10" t="s">
        <v>520</v>
      </c>
      <c r="I287" s="3" t="s">
        <v>597</v>
      </c>
      <c r="J287" s="6" t="s">
        <v>96</v>
      </c>
      <c r="K287" s="7">
        <v>400</v>
      </c>
      <c r="L287" s="25">
        <v>330</v>
      </c>
    </row>
    <row r="288" spans="1:12" ht="25.5" x14ac:dyDescent="0.25">
      <c r="A288" s="39">
        <v>42</v>
      </c>
      <c r="B288" s="4">
        <v>200794867</v>
      </c>
      <c r="C288" s="3" t="s">
        <v>61</v>
      </c>
      <c r="D288" s="3" t="s">
        <v>63</v>
      </c>
      <c r="E288" s="3" t="s">
        <v>20</v>
      </c>
      <c r="F288" s="5">
        <v>231210082015752</v>
      </c>
      <c r="G288" s="4" t="s">
        <v>19</v>
      </c>
      <c r="H288" s="10" t="s">
        <v>609</v>
      </c>
      <c r="I288" s="3" t="s">
        <v>610</v>
      </c>
      <c r="J288" s="6" t="s">
        <v>39</v>
      </c>
      <c r="K288" s="7">
        <v>8500</v>
      </c>
      <c r="L288" s="25">
        <v>7499.9989999999998</v>
      </c>
    </row>
    <row r="289" spans="1:12" ht="25.5" x14ac:dyDescent="0.25">
      <c r="A289" s="39">
        <v>43</v>
      </c>
      <c r="B289" s="4">
        <v>200794867</v>
      </c>
      <c r="C289" s="3" t="s">
        <v>61</v>
      </c>
      <c r="D289" s="3" t="s">
        <v>63</v>
      </c>
      <c r="E289" s="3" t="s">
        <v>346</v>
      </c>
      <c r="F289" s="5">
        <v>231210082026538</v>
      </c>
      <c r="G289" s="4" t="s">
        <v>19</v>
      </c>
      <c r="H289" s="10" t="s">
        <v>609</v>
      </c>
      <c r="I289" s="3" t="s">
        <v>611</v>
      </c>
      <c r="J289" s="6" t="s">
        <v>67</v>
      </c>
      <c r="K289" s="7">
        <v>14000</v>
      </c>
      <c r="L289" s="25">
        <v>12799.998</v>
      </c>
    </row>
    <row r="290" spans="1:12" ht="25.5" x14ac:dyDescent="0.25">
      <c r="A290" s="39">
        <v>44</v>
      </c>
      <c r="B290" s="4">
        <v>200794867</v>
      </c>
      <c r="C290" s="3" t="s">
        <v>527</v>
      </c>
      <c r="D290" s="3" t="s">
        <v>52</v>
      </c>
      <c r="E290" s="3" t="s">
        <v>259</v>
      </c>
      <c r="F290" s="5">
        <v>231210082088084</v>
      </c>
      <c r="G290" s="4" t="s">
        <v>19</v>
      </c>
      <c r="H290" s="10" t="s">
        <v>529</v>
      </c>
      <c r="I290" s="3" t="s">
        <v>700</v>
      </c>
      <c r="J290" s="6" t="s">
        <v>459</v>
      </c>
      <c r="K290" s="7">
        <f>5*5100</f>
        <v>25500</v>
      </c>
      <c r="L290" s="25">
        <v>22750</v>
      </c>
    </row>
    <row r="291" spans="1:12" ht="25.5" x14ac:dyDescent="0.25">
      <c r="A291" s="39">
        <v>45</v>
      </c>
      <c r="B291" s="4">
        <v>200794867</v>
      </c>
      <c r="C291" s="3" t="s">
        <v>701</v>
      </c>
      <c r="D291" s="3" t="s">
        <v>52</v>
      </c>
      <c r="E291" s="3" t="s">
        <v>86</v>
      </c>
      <c r="F291" s="5">
        <v>231210082088087</v>
      </c>
      <c r="G291" s="4" t="s">
        <v>19</v>
      </c>
      <c r="H291" s="10" t="s">
        <v>529</v>
      </c>
      <c r="I291" s="3" t="s">
        <v>702</v>
      </c>
      <c r="J291" s="6" t="s">
        <v>459</v>
      </c>
      <c r="K291" s="7">
        <f>6100*6</f>
        <v>36600</v>
      </c>
      <c r="L291" s="25">
        <v>33300</v>
      </c>
    </row>
    <row r="292" spans="1:12" ht="25.5" x14ac:dyDescent="0.25">
      <c r="A292" s="39">
        <v>46</v>
      </c>
      <c r="B292" s="30">
        <v>200794867</v>
      </c>
      <c r="C292" s="3" t="s">
        <v>708</v>
      </c>
      <c r="D292" s="3" t="s">
        <v>24</v>
      </c>
      <c r="E292" s="3" t="s">
        <v>381</v>
      </c>
      <c r="F292" s="5">
        <v>231210082096813</v>
      </c>
      <c r="G292" s="4" t="s">
        <v>19</v>
      </c>
      <c r="H292" s="10" t="s">
        <v>707</v>
      </c>
      <c r="I292" s="3" t="s">
        <v>709</v>
      </c>
      <c r="J292" s="6" t="s">
        <v>49</v>
      </c>
      <c r="K292" s="7">
        <v>15680</v>
      </c>
      <c r="L292" s="25">
        <v>15512</v>
      </c>
    </row>
    <row r="293" spans="1:12" ht="25.5" x14ac:dyDescent="0.25">
      <c r="A293" s="39">
        <v>47</v>
      </c>
      <c r="B293" s="30">
        <v>200794867</v>
      </c>
      <c r="C293" s="3" t="s">
        <v>708</v>
      </c>
      <c r="D293" s="3" t="s">
        <v>24</v>
      </c>
      <c r="E293" s="3" t="s">
        <v>381</v>
      </c>
      <c r="F293" s="5">
        <v>231210082096807</v>
      </c>
      <c r="G293" s="4" t="s">
        <v>19</v>
      </c>
      <c r="H293" s="10" t="s">
        <v>707</v>
      </c>
      <c r="I293" s="3" t="s">
        <v>710</v>
      </c>
      <c r="J293" s="6" t="s">
        <v>49</v>
      </c>
      <c r="K293" s="7">
        <v>25760</v>
      </c>
      <c r="L293" s="25">
        <v>25502.400000000001</v>
      </c>
    </row>
    <row r="294" spans="1:12" ht="25.5" x14ac:dyDescent="0.25">
      <c r="A294" s="39">
        <v>48</v>
      </c>
      <c r="B294" s="4">
        <v>200794867</v>
      </c>
      <c r="C294" s="3" t="s">
        <v>789</v>
      </c>
      <c r="D294" s="3" t="s">
        <v>147</v>
      </c>
      <c r="E294" s="3" t="s">
        <v>790</v>
      </c>
      <c r="F294" s="5">
        <v>231210082126972</v>
      </c>
      <c r="G294" s="3" t="s">
        <v>27</v>
      </c>
      <c r="H294" s="10" t="s">
        <v>793</v>
      </c>
      <c r="I294" s="3" t="s">
        <v>819</v>
      </c>
      <c r="J294" s="3" t="s">
        <v>26</v>
      </c>
      <c r="K294" s="7">
        <f>19000*4.45</f>
        <v>84550</v>
      </c>
      <c r="L294" s="25">
        <v>54150</v>
      </c>
    </row>
    <row r="295" spans="1:12" ht="25.5" x14ac:dyDescent="0.25">
      <c r="A295" s="39">
        <v>49</v>
      </c>
      <c r="B295" s="4">
        <v>200794867</v>
      </c>
      <c r="C295" s="3" t="s">
        <v>789</v>
      </c>
      <c r="D295" s="3" t="s">
        <v>147</v>
      </c>
      <c r="E295" s="3" t="s">
        <v>791</v>
      </c>
      <c r="F295" s="5">
        <v>231210082126976</v>
      </c>
      <c r="G295" s="3" t="s">
        <v>27</v>
      </c>
      <c r="H295" s="10" t="s">
        <v>793</v>
      </c>
      <c r="I295" s="3" t="s">
        <v>820</v>
      </c>
      <c r="J295" s="3" t="s">
        <v>26</v>
      </c>
      <c r="K295" s="7">
        <f>22*2100</f>
        <v>46200</v>
      </c>
      <c r="L295" s="25">
        <v>17640</v>
      </c>
    </row>
    <row r="296" spans="1:12" ht="25.5" x14ac:dyDescent="0.25">
      <c r="A296" s="39">
        <v>50</v>
      </c>
      <c r="B296" s="4">
        <v>200794867</v>
      </c>
      <c r="C296" s="3" t="s">
        <v>789</v>
      </c>
      <c r="D296" s="3" t="s">
        <v>147</v>
      </c>
      <c r="E296" s="3" t="s">
        <v>792</v>
      </c>
      <c r="F296" s="5">
        <v>231210082126982</v>
      </c>
      <c r="G296" s="3" t="s">
        <v>27</v>
      </c>
      <c r="H296" s="10" t="s">
        <v>793</v>
      </c>
      <c r="I296" s="3" t="s">
        <v>821</v>
      </c>
      <c r="J296" s="3" t="s">
        <v>26</v>
      </c>
      <c r="K296" s="7">
        <f>2000*10</f>
        <v>20000</v>
      </c>
      <c r="L296" s="25">
        <v>13600</v>
      </c>
    </row>
    <row r="297" spans="1:12" ht="38.25" x14ac:dyDescent="0.25">
      <c r="A297" s="39">
        <v>51</v>
      </c>
      <c r="B297" s="4">
        <v>200794867</v>
      </c>
      <c r="C297" s="3" t="s">
        <v>738</v>
      </c>
      <c r="D297" s="3" t="s">
        <v>740</v>
      </c>
      <c r="E297" s="3" t="s">
        <v>20</v>
      </c>
      <c r="F297" s="5">
        <v>231210082149937</v>
      </c>
      <c r="G297" s="33" t="s">
        <v>27</v>
      </c>
      <c r="H297" s="3" t="s">
        <v>827</v>
      </c>
      <c r="I297" s="3" t="s">
        <v>739</v>
      </c>
      <c r="J297" s="3" t="s">
        <v>39</v>
      </c>
      <c r="K297" s="7">
        <v>6900</v>
      </c>
      <c r="L297" s="25">
        <v>4999.9989999999998</v>
      </c>
    </row>
    <row r="298" spans="1:12" ht="38.25" x14ac:dyDescent="0.25">
      <c r="A298" s="39">
        <v>52</v>
      </c>
      <c r="B298" s="4">
        <v>200794867</v>
      </c>
      <c r="C298" s="3" t="s">
        <v>738</v>
      </c>
      <c r="D298" s="3" t="s">
        <v>740</v>
      </c>
      <c r="E298" s="3" t="s">
        <v>20</v>
      </c>
      <c r="F298" s="5">
        <v>231210082149944</v>
      </c>
      <c r="G298" s="33" t="s">
        <v>27</v>
      </c>
      <c r="H298" s="10" t="s">
        <v>828</v>
      </c>
      <c r="I298" s="3" t="s">
        <v>741</v>
      </c>
      <c r="J298" s="3" t="s">
        <v>91</v>
      </c>
      <c r="K298" s="7">
        <v>5700</v>
      </c>
      <c r="L298" s="25">
        <v>3899.922</v>
      </c>
    </row>
    <row r="299" spans="1:12" ht="25.5" x14ac:dyDescent="0.25">
      <c r="A299" s="39">
        <v>53</v>
      </c>
      <c r="B299" s="4">
        <v>200794867</v>
      </c>
      <c r="C299" s="3" t="s">
        <v>752</v>
      </c>
      <c r="D299" s="3" t="s">
        <v>103</v>
      </c>
      <c r="E299" s="3" t="s">
        <v>754</v>
      </c>
      <c r="F299" s="5">
        <v>231210082197834</v>
      </c>
      <c r="G299" s="33" t="s">
        <v>27</v>
      </c>
      <c r="H299" s="10" t="s">
        <v>636</v>
      </c>
      <c r="I299" s="3" t="s">
        <v>753</v>
      </c>
      <c r="J299" s="3" t="s">
        <v>755</v>
      </c>
      <c r="K299" s="7">
        <f>8*200</f>
        <v>1600</v>
      </c>
      <c r="L299" s="25">
        <v>1200</v>
      </c>
    </row>
    <row r="300" spans="1:12" ht="25.5" x14ac:dyDescent="0.25">
      <c r="A300" s="39">
        <v>54</v>
      </c>
      <c r="B300" s="4">
        <v>200794867</v>
      </c>
      <c r="C300" s="3" t="s">
        <v>100</v>
      </c>
      <c r="D300" s="3" t="s">
        <v>103</v>
      </c>
      <c r="E300" s="3" t="s">
        <v>795</v>
      </c>
      <c r="F300" s="5">
        <v>231210082215812</v>
      </c>
      <c r="G300" s="3" t="s">
        <v>27</v>
      </c>
      <c r="H300" s="10" t="s">
        <v>636</v>
      </c>
      <c r="I300" s="3" t="s">
        <v>818</v>
      </c>
      <c r="J300" s="3" t="s">
        <v>26</v>
      </c>
      <c r="K300" s="7">
        <f>36*640</f>
        <v>23040</v>
      </c>
      <c r="L300" s="25">
        <v>9600</v>
      </c>
    </row>
    <row r="301" spans="1:12" ht="25.5" x14ac:dyDescent="0.25">
      <c r="A301" s="39">
        <v>55</v>
      </c>
      <c r="B301" s="4">
        <v>200794867</v>
      </c>
      <c r="C301" s="3" t="s">
        <v>100</v>
      </c>
      <c r="D301" s="3" t="s">
        <v>103</v>
      </c>
      <c r="E301" s="3" t="s">
        <v>804</v>
      </c>
      <c r="F301" s="5">
        <v>231210082215807</v>
      </c>
      <c r="G301" s="3" t="s">
        <v>27</v>
      </c>
      <c r="H301" s="10" t="s">
        <v>636</v>
      </c>
      <c r="I301" s="3" t="s">
        <v>805</v>
      </c>
      <c r="J301" s="3" t="s">
        <v>44</v>
      </c>
      <c r="K301" s="7">
        <f>3150*65</f>
        <v>204750</v>
      </c>
      <c r="L301" s="25">
        <v>122535</v>
      </c>
    </row>
    <row r="302" spans="1:12" ht="25.5" x14ac:dyDescent="0.25">
      <c r="A302" s="39">
        <v>56</v>
      </c>
      <c r="B302" s="4">
        <v>200794867</v>
      </c>
      <c r="C302" s="3" t="s">
        <v>764</v>
      </c>
      <c r="D302" s="3" t="s">
        <v>766</v>
      </c>
      <c r="E302" s="3" t="s">
        <v>106</v>
      </c>
      <c r="F302" s="5">
        <v>231210082230507</v>
      </c>
      <c r="G302" s="4" t="s">
        <v>19</v>
      </c>
      <c r="H302" s="10" t="s">
        <v>524</v>
      </c>
      <c r="I302" s="3" t="s">
        <v>765</v>
      </c>
      <c r="J302" s="3" t="s">
        <v>91</v>
      </c>
      <c r="K302" s="7">
        <f>100*85</f>
        <v>8500</v>
      </c>
      <c r="L302" s="25">
        <v>3438.5</v>
      </c>
    </row>
    <row r="303" spans="1:12" ht="25.5" x14ac:dyDescent="0.25">
      <c r="A303" s="39">
        <v>57</v>
      </c>
      <c r="B303" s="4">
        <v>200794867</v>
      </c>
      <c r="C303" s="3" t="s">
        <v>806</v>
      </c>
      <c r="D303" s="3" t="s">
        <v>385</v>
      </c>
      <c r="E303" s="3" t="s">
        <v>807</v>
      </c>
      <c r="F303" s="5">
        <v>231210082230579</v>
      </c>
      <c r="G303" s="3" t="s">
        <v>27</v>
      </c>
      <c r="H303" s="10" t="s">
        <v>636</v>
      </c>
      <c r="I303" s="3" t="s">
        <v>808</v>
      </c>
      <c r="J303" s="6" t="s">
        <v>809</v>
      </c>
      <c r="K303" s="7">
        <f>126*600</f>
        <v>75600</v>
      </c>
      <c r="L303" s="25">
        <v>48000</v>
      </c>
    </row>
    <row r="304" spans="1:12" ht="25.5" x14ac:dyDescent="0.25">
      <c r="A304" s="39">
        <v>58</v>
      </c>
      <c r="B304" s="4">
        <v>200794867</v>
      </c>
      <c r="C304" s="3" t="s">
        <v>794</v>
      </c>
      <c r="D304" s="3" t="s">
        <v>103</v>
      </c>
      <c r="E304" s="3" t="s">
        <v>106</v>
      </c>
      <c r="F304" s="5">
        <v>231210082230584</v>
      </c>
      <c r="G304" s="3" t="s">
        <v>27</v>
      </c>
      <c r="H304" s="10" t="s">
        <v>636</v>
      </c>
      <c r="I304" s="3" t="s">
        <v>817</v>
      </c>
      <c r="J304" s="6" t="s">
        <v>49</v>
      </c>
      <c r="K304" s="7">
        <f>100*195</f>
        <v>19500</v>
      </c>
      <c r="L304" s="25">
        <v>13500</v>
      </c>
    </row>
    <row r="305" spans="1:12" ht="38.25" x14ac:dyDescent="0.25">
      <c r="A305" s="39">
        <v>59</v>
      </c>
      <c r="B305" s="4">
        <v>200794867</v>
      </c>
      <c r="C305" s="3" t="s">
        <v>100</v>
      </c>
      <c r="D305" s="3" t="s">
        <v>103</v>
      </c>
      <c r="E305" s="3" t="s">
        <v>812</v>
      </c>
      <c r="F305" s="5">
        <v>231210082287813</v>
      </c>
      <c r="G305" s="3" t="s">
        <v>27</v>
      </c>
      <c r="H305" s="10" t="s">
        <v>810</v>
      </c>
      <c r="I305" s="3" t="s">
        <v>811</v>
      </c>
      <c r="J305" s="6" t="s">
        <v>813</v>
      </c>
      <c r="K305" s="7">
        <f>45*4050</f>
        <v>182250</v>
      </c>
      <c r="L305" s="25">
        <v>79529.687999999995</v>
      </c>
    </row>
    <row r="306" spans="1:12" ht="38.25" x14ac:dyDescent="0.25">
      <c r="A306" s="39">
        <v>60</v>
      </c>
      <c r="B306" s="4">
        <v>200794867</v>
      </c>
      <c r="C306" s="3" t="s">
        <v>814</v>
      </c>
      <c r="D306" s="3" t="s">
        <v>103</v>
      </c>
      <c r="E306" s="3" t="s">
        <v>816</v>
      </c>
      <c r="F306" s="5">
        <v>231210082287815</v>
      </c>
      <c r="G306" s="3" t="s">
        <v>27</v>
      </c>
      <c r="H306" s="10" t="s">
        <v>810</v>
      </c>
      <c r="I306" s="3" t="s">
        <v>815</v>
      </c>
      <c r="J306" s="6" t="s">
        <v>459</v>
      </c>
      <c r="K306" s="7">
        <f>680*80</f>
        <v>54400</v>
      </c>
      <c r="L306" s="25">
        <v>30994.835200000001</v>
      </c>
    </row>
    <row r="307" spans="1:12" ht="25.5" x14ac:dyDescent="0.25">
      <c r="A307" s="39">
        <v>61</v>
      </c>
      <c r="B307" s="35">
        <v>200794867</v>
      </c>
      <c r="C307" s="3" t="s">
        <v>778</v>
      </c>
      <c r="D307" s="3" t="s">
        <v>52</v>
      </c>
      <c r="E307" s="3" t="s">
        <v>20</v>
      </c>
      <c r="F307" s="5">
        <v>231210082289554</v>
      </c>
      <c r="G307" s="3" t="s">
        <v>27</v>
      </c>
      <c r="H307" s="10" t="s">
        <v>632</v>
      </c>
      <c r="I307" s="3" t="s">
        <v>779</v>
      </c>
      <c r="J307" s="6" t="s">
        <v>67</v>
      </c>
      <c r="K307" s="25">
        <v>92</v>
      </c>
      <c r="L307" s="25">
        <v>84</v>
      </c>
    </row>
    <row r="308" spans="1:12" x14ac:dyDescent="0.25">
      <c r="A308" s="56" t="s">
        <v>851</v>
      </c>
      <c r="B308" s="57"/>
      <c r="C308" s="57"/>
      <c r="D308" s="57"/>
      <c r="E308" s="57"/>
      <c r="F308" s="57"/>
      <c r="G308" s="57"/>
      <c r="H308" s="57"/>
      <c r="I308" s="57"/>
      <c r="J308" s="57"/>
      <c r="K308" s="25"/>
      <c r="L308" s="25"/>
    </row>
    <row r="309" spans="1:12" ht="25.5" x14ac:dyDescent="0.25">
      <c r="A309" s="3">
        <v>1</v>
      </c>
      <c r="B309" s="38">
        <v>200794867</v>
      </c>
      <c r="C309" s="40" t="s">
        <v>832</v>
      </c>
      <c r="D309" s="3" t="s">
        <v>856</v>
      </c>
      <c r="E309" s="40" t="s">
        <v>675</v>
      </c>
      <c r="F309" s="41" t="s">
        <v>833</v>
      </c>
      <c r="G309" s="40" t="s">
        <v>27</v>
      </c>
      <c r="H309" s="10" t="s">
        <v>831</v>
      </c>
      <c r="I309" s="3" t="s">
        <v>830</v>
      </c>
      <c r="J309" s="6" t="s">
        <v>459</v>
      </c>
      <c r="K309" s="25">
        <v>65600</v>
      </c>
      <c r="L309" s="25">
        <v>65600</v>
      </c>
    </row>
    <row r="310" spans="1:12" ht="25.5" x14ac:dyDescent="0.25">
      <c r="A310" s="40">
        <v>2</v>
      </c>
      <c r="B310" s="38">
        <v>200794867</v>
      </c>
      <c r="C310" s="40" t="s">
        <v>842</v>
      </c>
      <c r="D310" s="40" t="s">
        <v>855</v>
      </c>
      <c r="E310" s="40" t="s">
        <v>847</v>
      </c>
      <c r="F310" s="41" t="s">
        <v>837</v>
      </c>
      <c r="G310" s="40" t="s">
        <v>27</v>
      </c>
      <c r="H310" s="10" t="s">
        <v>834</v>
      </c>
      <c r="I310" s="40" t="s">
        <v>836</v>
      </c>
      <c r="J310" s="6" t="s">
        <v>857</v>
      </c>
      <c r="K310" s="25">
        <v>782000</v>
      </c>
      <c r="L310" s="25">
        <v>782000</v>
      </c>
    </row>
    <row r="311" spans="1:12" ht="25.5" x14ac:dyDescent="0.25">
      <c r="A311" s="40">
        <v>3</v>
      </c>
      <c r="B311" s="38">
        <v>200794867</v>
      </c>
      <c r="C311" s="40" t="s">
        <v>843</v>
      </c>
      <c r="D311" s="40" t="s">
        <v>855</v>
      </c>
      <c r="E311" s="40" t="s">
        <v>848</v>
      </c>
      <c r="F311" s="41" t="s">
        <v>838</v>
      </c>
      <c r="G311" s="40" t="s">
        <v>27</v>
      </c>
      <c r="H311" s="10" t="s">
        <v>834</v>
      </c>
      <c r="I311" s="40" t="s">
        <v>852</v>
      </c>
      <c r="J311" s="6" t="s">
        <v>857</v>
      </c>
      <c r="K311" s="25">
        <v>1000000</v>
      </c>
      <c r="L311" s="25">
        <v>1000000</v>
      </c>
    </row>
    <row r="312" spans="1:12" ht="25.5" x14ac:dyDescent="0.25">
      <c r="A312" s="40">
        <v>4</v>
      </c>
      <c r="B312" s="38">
        <v>200794867</v>
      </c>
      <c r="C312" s="40" t="s">
        <v>844</v>
      </c>
      <c r="D312" s="40" t="s">
        <v>855</v>
      </c>
      <c r="E312" s="40" t="s">
        <v>265</v>
      </c>
      <c r="F312" s="41" t="s">
        <v>839</v>
      </c>
      <c r="G312" s="40" t="s">
        <v>27</v>
      </c>
      <c r="H312" s="10" t="s">
        <v>835</v>
      </c>
      <c r="I312" s="40" t="s">
        <v>853</v>
      </c>
      <c r="J312" s="6" t="s">
        <v>32</v>
      </c>
      <c r="K312" s="25">
        <v>137942.39999999999</v>
      </c>
      <c r="L312" s="25">
        <v>137942.39999999999</v>
      </c>
    </row>
    <row r="313" spans="1:12" ht="25.5" x14ac:dyDescent="0.25">
      <c r="A313" s="3">
        <v>5</v>
      </c>
      <c r="B313" s="38">
        <v>200794867</v>
      </c>
      <c r="C313" s="40" t="s">
        <v>845</v>
      </c>
      <c r="D313" s="40" t="s">
        <v>855</v>
      </c>
      <c r="E313" s="40" t="s">
        <v>849</v>
      </c>
      <c r="F313" s="41" t="s">
        <v>840</v>
      </c>
      <c r="G313" s="40" t="s">
        <v>27</v>
      </c>
      <c r="H313" s="10" t="s">
        <v>831</v>
      </c>
      <c r="I313" s="40" t="s">
        <v>854</v>
      </c>
      <c r="J313" s="6" t="s">
        <v>32</v>
      </c>
      <c r="K313" s="25">
        <v>1560000</v>
      </c>
      <c r="L313" s="25">
        <v>1560000</v>
      </c>
    </row>
    <row r="314" spans="1:12" ht="25.5" x14ac:dyDescent="0.25">
      <c r="A314" s="3">
        <v>6</v>
      </c>
      <c r="B314" s="38">
        <v>200794867</v>
      </c>
      <c r="C314" s="40" t="s">
        <v>846</v>
      </c>
      <c r="D314" s="40" t="s">
        <v>855</v>
      </c>
      <c r="E314" s="40" t="s">
        <v>850</v>
      </c>
      <c r="F314" s="41" t="s">
        <v>841</v>
      </c>
      <c r="G314" s="40" t="s">
        <v>27</v>
      </c>
      <c r="H314" s="10" t="s">
        <v>834</v>
      </c>
      <c r="I314" s="40" t="s">
        <v>858</v>
      </c>
      <c r="J314" s="6" t="s">
        <v>857</v>
      </c>
      <c r="K314" s="25">
        <v>75000</v>
      </c>
      <c r="L314" s="25">
        <v>75000</v>
      </c>
    </row>
    <row r="315" spans="1:12" x14ac:dyDescent="0.25">
      <c r="A315" s="54" t="s">
        <v>10</v>
      </c>
      <c r="B315" s="54"/>
      <c r="C315" s="54"/>
      <c r="D315" s="54"/>
      <c r="E315" s="54"/>
      <c r="F315" s="54"/>
      <c r="G315" s="54"/>
      <c r="H315" s="54"/>
      <c r="I315" s="54"/>
      <c r="J315" s="54"/>
      <c r="K315" s="8">
        <f>K314+K313+K312+K311+K310+K309+K307+K306+K305+K303+K304+K302+K301+K300+K299+K298+K297+K296+K295+K294+K293+K292+K291+K290+K289+K288+K287+K286+K285+K245+K244+K243+K242+K241+K240+K239+K238+K237+K236+K235+K234+K233+K232+K231+K230+K229+K228+K227+K226+K225+K224+K223+K222+K221+K220+K219+K218+K217+K216+K215+K214+K213+K212+K211+K210+K209+K208+K207+K206+K205+K204+K203+K202+K201+K61+K60+K59+K58+K57+K56+K55+K54+K53+K52+K51+K50+K49+K48+K47+K16+K15+K14+K46+K200</f>
        <v>6758945.1682400005</v>
      </c>
      <c r="L315" s="8">
        <f>L314+L313+L312+L311+L310+L309+L307+L306+L305+L303+L304+L302+L301+L300+L299+L298+L297+L296+L295+L294+L293+L292+L291+L290+L289+L288+L287+L286+L285+L245+L244+L243+L242+L241+L240+L239+L238+L237+L236+L235+L234+L233+L232+L231+L230+L229+L228+L227+L226+L225+L224+L223+L222+L221+L220+L219+L218+L217+L216+L215+L214+L213+L212+L211+L210+L209+L208+L207+L206+L205+L204+L203+L202+L201+L61+L60+L59+L58+L57+L56+L55+L54+L53+L52+L51+L50+L49+L48+L47+L16+L15+L14+L46+L200</f>
        <v>5799520.9692000002</v>
      </c>
    </row>
    <row r="316" spans="1:12" x14ac:dyDescent="0.25">
      <c r="A316" s="54" t="s">
        <v>11</v>
      </c>
      <c r="B316" s="54"/>
      <c r="C316" s="54"/>
      <c r="D316" s="54"/>
      <c r="E316" s="54"/>
      <c r="F316" s="54"/>
      <c r="G316" s="54"/>
      <c r="H316" s="54"/>
      <c r="I316" s="54"/>
      <c r="J316" s="54"/>
      <c r="K316" s="8">
        <f>SUM(K8:K315)-K315</f>
        <v>14409223.658040002</v>
      </c>
      <c r="L316" s="8">
        <f>SUM(L8:L315)-L315</f>
        <v>11189433.51365</v>
      </c>
    </row>
  </sheetData>
  <mergeCells count="80">
    <mergeCell ref="A308:J308"/>
    <mergeCell ref="A316:J316"/>
    <mergeCell ref="A2:L2"/>
    <mergeCell ref="A3:L3"/>
    <mergeCell ref="A315:J315"/>
    <mergeCell ref="A246:J246"/>
    <mergeCell ref="A62:J62"/>
    <mergeCell ref="A17:J17"/>
    <mergeCell ref="A7:J7"/>
    <mergeCell ref="H22:H25"/>
    <mergeCell ref="A22:A25"/>
    <mergeCell ref="B22:B25"/>
    <mergeCell ref="F22:F25"/>
    <mergeCell ref="I22:I25"/>
    <mergeCell ref="G22:G25"/>
    <mergeCell ref="J22:J25"/>
    <mergeCell ref="B26:B28"/>
    <mergeCell ref="A26:A28"/>
    <mergeCell ref="J30:J33"/>
    <mergeCell ref="I30:I33"/>
    <mergeCell ref="H30:H33"/>
    <mergeCell ref="F30:F33"/>
    <mergeCell ref="G30:G33"/>
    <mergeCell ref="B30:B33"/>
    <mergeCell ref="A30:A33"/>
    <mergeCell ref="H26:H28"/>
    <mergeCell ref="I26:I28"/>
    <mergeCell ref="J26:J28"/>
    <mergeCell ref="G26:G28"/>
    <mergeCell ref="F26:F28"/>
    <mergeCell ref="B38:B45"/>
    <mergeCell ref="A38:A45"/>
    <mergeCell ref="B34:B36"/>
    <mergeCell ref="A34:A36"/>
    <mergeCell ref="F38:F45"/>
    <mergeCell ref="F34:F36"/>
    <mergeCell ref="D15:D16"/>
    <mergeCell ref="F15:F16"/>
    <mergeCell ref="G15:G16"/>
    <mergeCell ref="B15:B16"/>
    <mergeCell ref="A15:A16"/>
    <mergeCell ref="H15:H16"/>
    <mergeCell ref="I15:I16"/>
    <mergeCell ref="J15:J16"/>
    <mergeCell ref="F48:F49"/>
    <mergeCell ref="G48:G49"/>
    <mergeCell ref="H48:H49"/>
    <mergeCell ref="J38:J45"/>
    <mergeCell ref="I38:I45"/>
    <mergeCell ref="H38:H45"/>
    <mergeCell ref="G38:G45"/>
    <mergeCell ref="J34:J36"/>
    <mergeCell ref="I34:I36"/>
    <mergeCell ref="H34:H36"/>
    <mergeCell ref="G34:G36"/>
    <mergeCell ref="I48:I49"/>
    <mergeCell ref="J48:J49"/>
    <mergeCell ref="F50:F52"/>
    <mergeCell ref="B50:B52"/>
    <mergeCell ref="A50:A52"/>
    <mergeCell ref="G50:G52"/>
    <mergeCell ref="H50:H52"/>
    <mergeCell ref="I50:I52"/>
    <mergeCell ref="J50:J52"/>
    <mergeCell ref="F53:F55"/>
    <mergeCell ref="B53:B55"/>
    <mergeCell ref="A53:A55"/>
    <mergeCell ref="G53:G55"/>
    <mergeCell ref="B48:B49"/>
    <mergeCell ref="A48:A49"/>
    <mergeCell ref="H53:H55"/>
    <mergeCell ref="I53:I55"/>
    <mergeCell ref="J53:J55"/>
    <mergeCell ref="I56:I61"/>
    <mergeCell ref="J56:J61"/>
    <mergeCell ref="B56:B61"/>
    <mergeCell ref="A56:A61"/>
    <mergeCell ref="H56:H61"/>
    <mergeCell ref="G56:G61"/>
    <mergeCell ref="F56:F6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2023 йилда амалга оширил харид</vt:lpstr>
      <vt:lpstr>'2023 йилда амалга оширил харид'!_Hlk109510007</vt:lpstr>
      <vt:lpstr>'2023 йилда амалга оширил харид'!_Hlk111836670</vt:lpstr>
      <vt:lpstr>'2023 йилда амалга оширил харид'!_Hlk111907451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2024-01-10T05:44:09Z</dcterms:modified>
</cp:coreProperties>
</file>